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801c6a749721d34/Documents/Documents/Evanne/League of Women Voters/Financials/"/>
    </mc:Choice>
  </mc:AlternateContent>
  <xr:revisionPtr revIDLastSave="0" documentId="8_{211C91D8-DEA2-466D-A23E-A85F7D82AB26}" xr6:coauthVersionLast="47" xr6:coauthVersionMax="47" xr10:uidLastSave="{00000000-0000-0000-0000-000000000000}"/>
  <bookViews>
    <workbookView xWindow="-120" yWindow="-120" windowWidth="29040" windowHeight="15720" firstSheet="2" activeTab="1" xr2:uid="{5CA04900-1837-4BD4-98CD-0D7E88DD7FE0}"/>
  </bookViews>
  <sheets>
    <sheet name="FY26 Budget" sheetId="2" r:id="rId1"/>
    <sheet name="FY26 YTD" sheetId="3" r:id="rId2"/>
    <sheet name="100 Women Who Care PB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9" i="3" l="1"/>
  <c r="O53" i="3"/>
  <c r="O44" i="3"/>
  <c r="O31" i="3"/>
  <c r="O14" i="3"/>
  <c r="O13" i="3"/>
  <c r="N48" i="3"/>
  <c r="N53" i="3"/>
  <c r="N31" i="3"/>
  <c r="N69" i="3" s="1"/>
  <c r="N14" i="3"/>
  <c r="N12" i="3"/>
  <c r="M69" i="3"/>
  <c r="E42" i="4"/>
  <c r="E39" i="4"/>
  <c r="M53" i="3"/>
  <c r="M31" i="3"/>
  <c r="M14" i="3"/>
  <c r="M13" i="3"/>
  <c r="M9" i="3"/>
  <c r="M12" i="3"/>
  <c r="M7" i="3"/>
  <c r="L69" i="3"/>
  <c r="L53" i="3"/>
  <c r="L44" i="3"/>
  <c r="L31" i="3"/>
  <c r="L14" i="3"/>
  <c r="P65" i="3"/>
  <c r="P50" i="3"/>
  <c r="P51" i="3"/>
  <c r="K7" i="3"/>
  <c r="K69" i="3"/>
  <c r="K63" i="3"/>
  <c r="K53" i="3"/>
  <c r="K44" i="3"/>
  <c r="K31" i="3"/>
  <c r="K29" i="3"/>
  <c r="K14" i="3"/>
  <c r="K9" i="3"/>
  <c r="E7" i="3"/>
  <c r="E28" i="3"/>
  <c r="F7" i="3"/>
  <c r="D7" i="3"/>
  <c r="G65" i="3"/>
  <c r="G9" i="3"/>
  <c r="G7" i="3"/>
  <c r="H7" i="3"/>
  <c r="J65" i="3"/>
  <c r="J23" i="3"/>
  <c r="J67" i="3"/>
  <c r="J29" i="3"/>
  <c r="J9" i="3"/>
  <c r="J7" i="3"/>
  <c r="D31" i="4"/>
  <c r="J53" i="3"/>
  <c r="P67" i="3"/>
  <c r="J44" i="3"/>
  <c r="J31" i="3"/>
  <c r="J37" i="3"/>
  <c r="J14" i="3"/>
  <c r="P13" i="3"/>
  <c r="I7" i="3"/>
  <c r="I14" i="3" s="1"/>
  <c r="I44" i="3"/>
  <c r="I53" i="3"/>
  <c r="I65" i="3"/>
  <c r="D23" i="4"/>
  <c r="I31" i="3"/>
  <c r="I37" i="3"/>
  <c r="D17" i="4"/>
  <c r="P65" i="4" a="1"/>
  <c r="H29" i="3"/>
  <c r="H65" i="3"/>
  <c r="H63" i="3"/>
  <c r="H57" i="3"/>
  <c r="H53" i="3"/>
  <c r="H44" i="3"/>
  <c r="H24" i="3"/>
  <c r="H36" i="3"/>
  <c r="H37" i="3" s="1"/>
  <c r="H31" i="3"/>
  <c r="H69" i="3" s="1"/>
  <c r="H14" i="3"/>
  <c r="G29" i="3"/>
  <c r="G53" i="3"/>
  <c r="G44" i="3"/>
  <c r="G31" i="3"/>
  <c r="G36" i="3"/>
  <c r="G37" i="3" s="1"/>
  <c r="G10" i="3"/>
  <c r="G14" i="3" s="1"/>
  <c r="D10" i="4"/>
  <c r="E11" i="4" s="1"/>
  <c r="E18" i="4" s="1"/>
  <c r="F53" i="3"/>
  <c r="F31" i="3"/>
  <c r="F69" i="3" s="1"/>
  <c r="F14" i="3"/>
  <c r="E63" i="3"/>
  <c r="E44" i="3"/>
  <c r="E51" i="3"/>
  <c r="E53" i="3" s="1"/>
  <c r="E36" i="3"/>
  <c r="E37" i="3" s="1"/>
  <c r="P29" i="3"/>
  <c r="E31" i="3"/>
  <c r="E14" i="3"/>
  <c r="D44" i="3"/>
  <c r="D53" i="3"/>
  <c r="D63" i="3"/>
  <c r="P49" i="3"/>
  <c r="P52" i="3"/>
  <c r="P48" i="3"/>
  <c r="P47" i="3"/>
  <c r="P62" i="3"/>
  <c r="P61" i="3"/>
  <c r="P60" i="3"/>
  <c r="P56" i="3"/>
  <c r="P43" i="3"/>
  <c r="P42" i="3"/>
  <c r="P41" i="3"/>
  <c r="P40" i="3"/>
  <c r="P36" i="3"/>
  <c r="P35" i="3"/>
  <c r="P34" i="3"/>
  <c r="P28" i="3"/>
  <c r="P27" i="3"/>
  <c r="P25" i="3"/>
  <c r="P22" i="3"/>
  <c r="P24" i="3"/>
  <c r="P21" i="3"/>
  <c r="P20" i="3"/>
  <c r="P19" i="3"/>
  <c r="P18" i="3"/>
  <c r="P12" i="3"/>
  <c r="P11" i="3"/>
  <c r="P10" i="3"/>
  <c r="P9" i="3"/>
  <c r="D14" i="3"/>
  <c r="P7" i="3"/>
  <c r="P63" i="3"/>
  <c r="P57" i="3"/>
  <c r="P44" i="3"/>
  <c r="P37" i="3"/>
  <c r="D23" i="3"/>
  <c r="P23" i="3" s="1"/>
  <c r="C63" i="3"/>
  <c r="C57" i="3"/>
  <c r="C53" i="3"/>
  <c r="C44" i="3"/>
  <c r="C37" i="3"/>
  <c r="C31" i="3"/>
  <c r="C69" i="3" s="1"/>
  <c r="C14" i="3"/>
  <c r="C58" i="2"/>
  <c r="C13" i="2"/>
  <c r="C52" i="2"/>
  <c r="C48" i="2"/>
  <c r="C39" i="2"/>
  <c r="C32" i="2"/>
  <c r="C26" i="2"/>
  <c r="P53" i="3" l="1"/>
  <c r="J69" i="3"/>
  <c r="E24" i="4"/>
  <c r="E33" i="4" s="1"/>
  <c r="P14" i="3"/>
  <c r="I69" i="3"/>
  <c r="G69" i="3"/>
  <c r="E69" i="3"/>
  <c r="D31" i="3"/>
  <c r="D69" i="3" s="1"/>
  <c r="P31" i="3"/>
  <c r="C60" i="2"/>
  <c r="P69" i="3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<sst xmlns="http://schemas.openxmlformats.org/spreadsheetml/2006/main" count="215" uniqueCount="149">
  <si>
    <t>LWV SCV Budget 2025-2026, Effective July 1, 2025</t>
  </si>
  <si>
    <t>Updated 4/20/2025</t>
  </si>
  <si>
    <t>Notes</t>
  </si>
  <si>
    <t>Available carryover from previous year as of March 25, 2025</t>
  </si>
  <si>
    <t xml:space="preserve">Approximately $5,000 in membership dues are owed to LWVUS and LWVWI. This encumbrance is not included in carryover. </t>
  </si>
  <si>
    <t>INCOME</t>
  </si>
  <si>
    <t>Budget</t>
  </si>
  <si>
    <t>Membership Dues, New System</t>
  </si>
  <si>
    <t>LWVSCV gets 20% of dues paid. Of the recommended $75 dues, $13.62 goes to us. (20% of $75 is $15 minus credit card fees.)*</t>
  </si>
  <si>
    <t>Donations</t>
  </si>
  <si>
    <t>Individual</t>
  </si>
  <si>
    <t xml:space="preserve">Other </t>
  </si>
  <si>
    <t>Free will donations at events</t>
  </si>
  <si>
    <t>Grants</t>
  </si>
  <si>
    <t>Fundraisers</t>
  </si>
  <si>
    <t>Quilt raffle ticket sales and fundraising letter</t>
  </si>
  <si>
    <t>TOTAL INCOME</t>
  </si>
  <si>
    <t>EXPENSES</t>
  </si>
  <si>
    <t>Administrative</t>
  </si>
  <si>
    <t>Legal Fees (WI DFI annual fee)</t>
  </si>
  <si>
    <t>Computer/Web</t>
  </si>
  <si>
    <t>Quickbooks subscription</t>
  </si>
  <si>
    <t xml:space="preserve">Zoom subscription </t>
  </si>
  <si>
    <t>Postage/Copies</t>
  </si>
  <si>
    <t xml:space="preserve">Supplies </t>
  </si>
  <si>
    <t>Hospitality and unanticipated expenses</t>
  </si>
  <si>
    <t>Vote 411</t>
  </si>
  <si>
    <t>Insurance</t>
  </si>
  <si>
    <t>Room Rental</t>
  </si>
  <si>
    <t>3 rentals@$100</t>
  </si>
  <si>
    <t>Total Administrative</t>
  </si>
  <si>
    <t>Programs</t>
  </si>
  <si>
    <t>Sound</t>
  </si>
  <si>
    <t>Speaker Fee</t>
  </si>
  <si>
    <t>Readers Theater</t>
  </si>
  <si>
    <t>Total Program Costs</t>
  </si>
  <si>
    <t>Member Services</t>
  </si>
  <si>
    <t>Packets</t>
  </si>
  <si>
    <t>Printing</t>
  </si>
  <si>
    <t>Postage</t>
  </si>
  <si>
    <t>Hospitality for member events</t>
  </si>
  <si>
    <t>Reimbursement limited to $100</t>
  </si>
  <si>
    <t>Total Member Services</t>
  </si>
  <si>
    <t>Voter Services</t>
  </si>
  <si>
    <t>Signs (replacement)</t>
  </si>
  <si>
    <t>Vote Tuesday &amp; Thank Election Workers</t>
  </si>
  <si>
    <t>Copies/Publicity</t>
  </si>
  <si>
    <t>Postcards, postage</t>
  </si>
  <si>
    <t>Candidate Forums</t>
  </si>
  <si>
    <t>Supplies</t>
  </si>
  <si>
    <t>Bookmarks</t>
  </si>
  <si>
    <t>Total Voter Services</t>
  </si>
  <si>
    <t>Communications &amp; Media</t>
  </si>
  <si>
    <t>Misc</t>
  </si>
  <si>
    <t>Total Communications &amp; Media</t>
  </si>
  <si>
    <t>Budget/Fundraising</t>
  </si>
  <si>
    <t>Fundraising, miscellaneous fees</t>
  </si>
  <si>
    <t>Fundraising, letter</t>
  </si>
  <si>
    <t>Raffle license</t>
  </si>
  <si>
    <t>Total Budget/Fundraising</t>
  </si>
  <si>
    <t>TOTAL EXPENSES</t>
  </si>
  <si>
    <t>*https://www.lwv.org/league-management/membership/chapterspot-resources</t>
  </si>
  <si>
    <t>July</t>
  </si>
  <si>
    <t>Aug</t>
  </si>
  <si>
    <t>Sept</t>
  </si>
  <si>
    <t>Oct</t>
  </si>
  <si>
    <t>Nov</t>
  </si>
  <si>
    <t>Dec</t>
  </si>
  <si>
    <t>Jan</t>
  </si>
  <si>
    <t>Feb</t>
  </si>
  <si>
    <t>March</t>
  </si>
  <si>
    <t>April</t>
  </si>
  <si>
    <t xml:space="preserve">May </t>
  </si>
  <si>
    <t>June</t>
  </si>
  <si>
    <t>YTD</t>
  </si>
  <si>
    <t>Checking Account Balance</t>
  </si>
  <si>
    <t>Membership Dues</t>
  </si>
  <si>
    <t>LWVSCV gets 20% of dues paid. Of the recommended $75 dues, $13.61 goes to us. (20% of $75 is $15 minus credit card fees.)* Includes membership form test money</t>
  </si>
  <si>
    <t>Free will donations at events, most of this is RT</t>
  </si>
  <si>
    <t>100 Women Who Care P-B 2nd place &amp; U&amp;R 8.5 Project Ready</t>
  </si>
  <si>
    <t>Quilt raffle ticket sales &amp; fundraising letter, Give Big Valleys</t>
  </si>
  <si>
    <t>Sales, income</t>
  </si>
  <si>
    <t>Clothing sales</t>
  </si>
  <si>
    <t>Remaining</t>
  </si>
  <si>
    <t xml:space="preserve"> $159 for electronic membership form (gravity form)</t>
  </si>
  <si>
    <t xml:space="preserve">      Saris Web Design</t>
  </si>
  <si>
    <t>Contract signed in 24-25, $50/mon for web support</t>
  </si>
  <si>
    <t>QuickBooks monthly cost went up from $35 to $38 on July 1</t>
  </si>
  <si>
    <t>Hospitality and unanticipated expenses, projector, checks</t>
  </si>
  <si>
    <t>3 rentals@$100, annual mtg '27 deposit, Pride deposit</t>
  </si>
  <si>
    <t xml:space="preserve">     Refund of membership test</t>
  </si>
  <si>
    <t>Dues paid to National/State</t>
  </si>
  <si>
    <t xml:space="preserve">Vote Tuesday </t>
  </si>
  <si>
    <t>Farmers mkts as publicity</t>
  </si>
  <si>
    <t>-</t>
  </si>
  <si>
    <t>SAVE Act/100 Women</t>
  </si>
  <si>
    <t>Check to Kraus voided</t>
  </si>
  <si>
    <t xml:space="preserve">Sales, expenses </t>
  </si>
  <si>
    <t>100 Women Who Care Polk/Burnett Grant</t>
  </si>
  <si>
    <t>Updated 7/7/2026</t>
  </si>
  <si>
    <t>Grant Amount</t>
  </si>
  <si>
    <t>Date</t>
  </si>
  <si>
    <t>Payee</t>
  </si>
  <si>
    <t>Purpose</t>
  </si>
  <si>
    <t>Amount</t>
  </si>
  <si>
    <t>Available</t>
  </si>
  <si>
    <t xml:space="preserve">Amery Area Community Center </t>
  </si>
  <si>
    <t>Room rental for Nov 10 SAVE Act presentation</t>
  </si>
  <si>
    <t>UWRF Fast Copy</t>
  </si>
  <si>
    <t>Printing SAVE Act comic</t>
  </si>
  <si>
    <t>Intercounty Leader</t>
  </si>
  <si>
    <t xml:space="preserve">1 week display ad in weekly Advertiser </t>
  </si>
  <si>
    <t>Nancy Stewart reimbursement</t>
  </si>
  <si>
    <t>Stamps for letters sent to all municipal clerks in 3 counties</t>
  </si>
  <si>
    <t xml:space="preserve">Used in October </t>
  </si>
  <si>
    <t>Remaining November 1</t>
  </si>
  <si>
    <t>Kris Saubaugh reimbursement</t>
  </si>
  <si>
    <t>Karrie Weaver</t>
  </si>
  <si>
    <t>SAVE Act presenter</t>
  </si>
  <si>
    <t>Dave Hansen</t>
  </si>
  <si>
    <t>Videographer SAVE Act</t>
  </si>
  <si>
    <t>The Sun newspaper</t>
  </si>
  <si>
    <t>SAVE Act copies</t>
  </si>
  <si>
    <t>Used in November</t>
  </si>
  <si>
    <t>Remaining December 1</t>
  </si>
  <si>
    <t>USPS mailing</t>
  </si>
  <si>
    <t>Weaver CD to Saris for prep for website</t>
  </si>
  <si>
    <t>MinuteMan Press</t>
  </si>
  <si>
    <t>Bookmarks for Luck, Frederic, Grantsburg</t>
  </si>
  <si>
    <t>Used in December</t>
  </si>
  <si>
    <t>Remaining January 1</t>
  </si>
  <si>
    <t>Anne Marie McCullan</t>
  </si>
  <si>
    <t>Frederic Library Lunch &amp; Learn presenter, mileage</t>
  </si>
  <si>
    <t>Frederic Library Lunch &amp; Learn presenter, honorarium</t>
  </si>
  <si>
    <t xml:space="preserve">Copies </t>
  </si>
  <si>
    <t>Frederic Library Lunch &amp; Learn presenter, copies</t>
  </si>
  <si>
    <t>Nicole Gabrial</t>
  </si>
  <si>
    <t>Used in January</t>
  </si>
  <si>
    <t xml:space="preserve">Encumbered for Neil Kraus </t>
  </si>
  <si>
    <t>Remaining February 1</t>
  </si>
  <si>
    <t>Remaining March 1</t>
  </si>
  <si>
    <t>Food &amp; supplies for Frederic Library Lunch &amp; Learns</t>
  </si>
  <si>
    <t>Neil Kraus encomberence removed</t>
  </si>
  <si>
    <t>Check in the amnount of $336.30 voided</t>
  </si>
  <si>
    <t>Remaining April 1</t>
  </si>
  <si>
    <t>Kathy Streitz</t>
  </si>
  <si>
    <t>Mileage to Frederic &amp; Webster Libraries SAVE presentations</t>
  </si>
  <si>
    <t>Remaining May 1</t>
  </si>
  <si>
    <t>Remaining June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</si>
</sst>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7"/>
      <color rgb="FF1D1D1D"/>
      <name val="Arial"/>
      <family val="2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43" fontId="0" fillId="0" borderId="2" xfId="1" applyFont="1" applyBorder="1" applyAlignment="1">
      <alignment vertical="top"/>
    </xf>
    <xf numFmtId="43" fontId="2" fillId="0" borderId="2" xfId="1" applyFont="1" applyBorder="1" applyAlignment="1">
      <alignment vertical="top"/>
    </xf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0" fontId="0" fillId="2" borderId="0" xfId="0" applyFill="1" applyAlignment="1">
      <alignment vertical="top"/>
    </xf>
    <xf numFmtId="43" fontId="0" fillId="2" borderId="0" xfId="0" applyNumberFormat="1" applyFill="1" applyAlignment="1">
      <alignment vertical="top"/>
    </xf>
    <xf numFmtId="0" fontId="0" fillId="2" borderId="1" xfId="0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43" fontId="1" fillId="0" borderId="2" xfId="1" applyFont="1" applyBorder="1" applyAlignment="1">
      <alignment vertical="top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center"/>
    </xf>
    <xf numFmtId="0" fontId="2" fillId="0" borderId="3" xfId="0" applyFont="1" applyBorder="1" applyAlignment="1">
      <alignment vertical="top"/>
    </xf>
    <xf numFmtId="0" fontId="0" fillId="0" borderId="3" xfId="0" applyBorder="1" applyAlignment="1">
      <alignment vertical="top"/>
    </xf>
    <xf numFmtId="43" fontId="2" fillId="0" borderId="3" xfId="0" applyNumberFormat="1" applyFont="1" applyBorder="1" applyAlignment="1">
      <alignment vertical="top"/>
    </xf>
    <xf numFmtId="43" fontId="0" fillId="0" borderId="1" xfId="1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43" fontId="0" fillId="0" borderId="4" xfId="1" applyFont="1" applyBorder="1" applyAlignment="1">
      <alignment vertical="top"/>
    </xf>
    <xf numFmtId="0" fontId="0" fillId="0" borderId="4" xfId="0" applyBorder="1"/>
    <xf numFmtId="43" fontId="0" fillId="0" borderId="5" xfId="1" applyFont="1" applyBorder="1" applyAlignment="1">
      <alignment vertical="top"/>
    </xf>
    <xf numFmtId="0" fontId="0" fillId="0" borderId="6" xfId="0" applyBorder="1" applyAlignment="1">
      <alignment vertical="top"/>
    </xf>
    <xf numFmtId="43" fontId="0" fillId="0" borderId="7" xfId="1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7" fillId="0" borderId="1" xfId="0" applyFont="1" applyBorder="1" applyAlignment="1">
      <alignment vertical="top"/>
    </xf>
    <xf numFmtId="43" fontId="2" fillId="0" borderId="4" xfId="1" applyFont="1" applyBorder="1" applyAlignment="1">
      <alignment vertical="top"/>
    </xf>
    <xf numFmtId="43" fontId="2" fillId="0" borderId="4" xfId="0" applyNumberFormat="1" applyFont="1" applyBorder="1"/>
    <xf numFmtId="43" fontId="0" fillId="0" borderId="4" xfId="0" applyNumberFormat="1" applyBorder="1"/>
    <xf numFmtId="0" fontId="5" fillId="0" borderId="10" xfId="0" applyFont="1" applyBorder="1" applyAlignment="1">
      <alignment vertical="top"/>
    </xf>
    <xf numFmtId="43" fontId="0" fillId="0" borderId="6" xfId="1" applyFont="1" applyBorder="1" applyAlignment="1">
      <alignment vertical="top"/>
    </xf>
    <xf numFmtId="0" fontId="0" fillId="0" borderId="10" xfId="0" applyBorder="1"/>
    <xf numFmtId="43" fontId="0" fillId="0" borderId="9" xfId="1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0" fillId="0" borderId="4" xfId="0" applyBorder="1" applyAlignment="1">
      <alignment vertical="top"/>
    </xf>
    <xf numFmtId="14" fontId="0" fillId="0" borderId="4" xfId="0" applyNumberFormat="1" applyBorder="1"/>
    <xf numFmtId="0" fontId="8" fillId="0" borderId="1" xfId="0" applyFont="1" applyBorder="1" applyAlignment="1">
      <alignment vertical="top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wrapText="1"/>
    </xf>
    <xf numFmtId="0" fontId="2" fillId="0" borderId="11" xfId="0" applyFont="1" applyBorder="1" applyAlignment="1">
      <alignment vertical="top" wrapText="1"/>
    </xf>
    <xf numFmtId="0" fontId="0" fillId="0" borderId="11" xfId="0" applyBorder="1" applyAlignment="1">
      <alignment vertical="top"/>
    </xf>
    <xf numFmtId="43" fontId="0" fillId="0" borderId="11" xfId="1" applyFont="1" applyBorder="1" applyAlignment="1">
      <alignment vertical="top"/>
    </xf>
    <xf numFmtId="2" fontId="0" fillId="0" borderId="11" xfId="0" applyNumberFormat="1" applyBorder="1"/>
    <xf numFmtId="43" fontId="2" fillId="0" borderId="12" xfId="1" applyFont="1" applyBorder="1" applyAlignment="1">
      <alignment vertical="top"/>
    </xf>
    <xf numFmtId="43" fontId="0" fillId="0" borderId="5" xfId="1" applyFont="1" applyBorder="1" applyAlignment="1">
      <alignment horizontal="right" vertical="top"/>
    </xf>
    <xf numFmtId="43" fontId="0" fillId="0" borderId="2" xfId="1" applyFont="1" applyBorder="1" applyAlignment="1">
      <alignment horizontal="right" vertical="top"/>
    </xf>
    <xf numFmtId="43" fontId="2" fillId="0" borderId="2" xfId="1" applyFont="1" applyBorder="1" applyAlignment="1">
      <alignment horizontal="right" vertical="top"/>
    </xf>
    <xf numFmtId="43" fontId="0" fillId="0" borderId="2" xfId="1" applyFont="1" applyBorder="1" applyAlignment="1">
      <alignment vertical="top" wrapText="1"/>
    </xf>
    <xf numFmtId="43" fontId="1" fillId="0" borderId="2" xfId="1" applyFont="1" applyBorder="1" applyAlignment="1">
      <alignment horizontal="right" vertical="top"/>
    </xf>
    <xf numFmtId="0" fontId="0" fillId="3" borderId="0" xfId="0" applyFill="1" applyAlignment="1">
      <alignment vertical="top"/>
    </xf>
    <xf numFmtId="0" fontId="5" fillId="3" borderId="0" xfId="0" applyFont="1" applyFill="1" applyAlignment="1">
      <alignment vertical="top"/>
    </xf>
    <xf numFmtId="0" fontId="5" fillId="0" borderId="1" xfId="0" applyFont="1" applyBorder="1" applyAlignment="1">
      <alignment horizontal="left" vertical="center" wrapText="1"/>
    </xf>
    <xf numFmtId="2" fontId="0" fillId="0" borderId="4" xfId="0" applyNumberFormat="1" applyBorder="1"/>
    <xf numFmtId="0" fontId="2" fillId="0" borderId="4" xfId="0" applyFont="1" applyBorder="1"/>
    <xf numFmtId="2" fontId="2" fillId="0" borderId="4" xfId="0" applyNumberFormat="1" applyFont="1" applyBorder="1"/>
    <xf numFmtId="0" fontId="2" fillId="0" borderId="11" xfId="0" applyFont="1" applyBorder="1"/>
    <xf numFmtId="0" fontId="2" fillId="0" borderId="13" xfId="0" applyFont="1" applyBorder="1"/>
    <xf numFmtId="2" fontId="2" fillId="0" borderId="0" xfId="0" applyNumberFormat="1" applyFont="1"/>
    <xf numFmtId="14" fontId="0" fillId="0" borderId="4" xfId="0" applyNumberFormat="1" applyBorder="1" applyAlignment="1">
      <alignment vertical="top"/>
    </xf>
    <xf numFmtId="0" fontId="0" fillId="0" borderId="4" xfId="0" applyBorder="1" applyAlignment="1">
      <alignment vertical="top" wrapText="1"/>
    </xf>
    <xf numFmtId="2" fontId="0" fillId="0" borderId="4" xfId="0" applyNumberFormat="1" applyBorder="1" applyAlignment="1">
      <alignment vertical="top"/>
    </xf>
    <xf numFmtId="2" fontId="2" fillId="0" borderId="4" xfId="0" applyNumberFormat="1" applyFont="1" applyBorder="1" applyAlignment="1">
      <alignment vertical="top"/>
    </xf>
    <xf numFmtId="14" fontId="0" fillId="0" borderId="0" xfId="0" applyNumberFormat="1" applyAlignment="1">
      <alignment wrapText="1"/>
    </xf>
    <xf numFmtId="43" fontId="7" fillId="0" borderId="2" xfId="1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9" fillId="0" borderId="10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0" fillId="0" borderId="2" xfId="0" applyBorder="1" applyAlignment="1">
      <alignment horizontal="right" vertical="top"/>
    </xf>
    <xf numFmtId="0" fontId="10" fillId="0" borderId="1" xfId="0" applyFont="1" applyBorder="1" applyAlignment="1">
      <alignment vertical="top"/>
    </xf>
    <xf numFmtId="2" fontId="0" fillId="0" borderId="14" xfId="0" applyNumberFormat="1" applyBorder="1"/>
    <xf numFmtId="2" fontId="0" fillId="0" borderId="0" xfId="0" applyNumberFormat="1"/>
    <xf numFmtId="0" fontId="0" fillId="0" borderId="2" xfId="0" applyBorder="1"/>
    <xf numFmtId="0" fontId="0" fillId="0" borderId="9" xfId="0" applyBorder="1" applyAlignment="1">
      <alignment vertical="top" wrapText="1"/>
    </xf>
    <xf numFmtId="43" fontId="0" fillId="0" borderId="2" xfId="1" applyFont="1" applyBorder="1" applyAlignment="1">
      <alignment horizontal="center" vertical="top"/>
    </xf>
    <xf numFmtId="43" fontId="2" fillId="0" borderId="2" xfId="1" applyFont="1" applyBorder="1" applyAlignment="1">
      <alignment horizontal="center" vertical="top"/>
    </xf>
    <xf numFmtId="43" fontId="1" fillId="0" borderId="2" xfId="1" applyFont="1" applyBorder="1" applyAlignment="1">
      <alignment horizontal="center" vertical="top"/>
    </xf>
    <xf numFmtId="0" fontId="0" fillId="0" borderId="14" xfId="0" applyBorder="1"/>
    <xf numFmtId="0" fontId="2" fillId="0" borderId="14" xfId="0" applyFont="1" applyBorder="1"/>
    <xf numFmtId="0" fontId="5" fillId="0" borderId="10" xfId="0" applyFont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847BE-BB86-4B1E-BC0D-52B05CC4371E}">
  <dimension ref="A1:G63"/>
  <sheetViews>
    <sheetView workbookViewId="0"/>
  </sheetViews>
  <sheetFormatPr defaultRowHeight="15" x14ac:dyDescent="0.25"/>
  <cols>
    <col min="1" max="1" width="23.140625" customWidth="1"/>
    <col min="2" max="2" width="28.140625" customWidth="1"/>
    <col min="3" max="3" width="11.42578125" customWidth="1"/>
    <col min="4" max="4" width="60.85546875" customWidth="1"/>
    <col min="6" max="6" width="9.85546875" bestFit="1" customWidth="1"/>
  </cols>
  <sheetData>
    <row r="1" spans="1:4" x14ac:dyDescent="0.25">
      <c r="A1" s="10" t="s">
        <v>0</v>
      </c>
      <c r="B1" s="11"/>
      <c r="D1" t="s">
        <v>1</v>
      </c>
    </row>
    <row r="3" spans="1:4" x14ac:dyDescent="0.25">
      <c r="D3" s="10" t="s">
        <v>2</v>
      </c>
    </row>
    <row r="4" spans="1:4" ht="30" x14ac:dyDescent="0.25">
      <c r="A4" s="5" t="s">
        <v>3</v>
      </c>
      <c r="B4" s="2"/>
      <c r="C4" s="24">
        <v>7900</v>
      </c>
      <c r="D4" s="3" t="s">
        <v>4</v>
      </c>
    </row>
    <row r="5" spans="1:4" x14ac:dyDescent="0.25">
      <c r="A5" s="19"/>
      <c r="B5" s="19"/>
      <c r="C5" s="19"/>
      <c r="D5" s="19"/>
    </row>
    <row r="6" spans="1:4" x14ac:dyDescent="0.25">
      <c r="A6" s="5" t="s">
        <v>5</v>
      </c>
      <c r="B6" s="5"/>
      <c r="C6" s="6" t="s">
        <v>6</v>
      </c>
      <c r="D6" s="5" t="s">
        <v>2</v>
      </c>
    </row>
    <row r="7" spans="1:4" ht="30" x14ac:dyDescent="0.25">
      <c r="A7" s="2" t="s">
        <v>7</v>
      </c>
      <c r="B7" s="2"/>
      <c r="C7" s="7">
        <v>1090</v>
      </c>
      <c r="D7" s="3" t="s">
        <v>8</v>
      </c>
    </row>
    <row r="8" spans="1:4" x14ac:dyDescent="0.25">
      <c r="A8" s="2" t="s">
        <v>9</v>
      </c>
      <c r="B8" s="2"/>
      <c r="C8" s="4"/>
      <c r="D8" s="2"/>
    </row>
    <row r="9" spans="1:4" x14ac:dyDescent="0.25">
      <c r="A9" s="2"/>
      <c r="B9" s="2" t="s">
        <v>10</v>
      </c>
      <c r="C9" s="7">
        <v>2000</v>
      </c>
      <c r="D9" s="2"/>
    </row>
    <row r="10" spans="1:4" x14ac:dyDescent="0.25">
      <c r="A10" s="2"/>
      <c r="B10" s="2" t="s">
        <v>11</v>
      </c>
      <c r="C10" s="7">
        <v>500</v>
      </c>
      <c r="D10" s="2" t="s">
        <v>12</v>
      </c>
    </row>
    <row r="11" spans="1:4" x14ac:dyDescent="0.25">
      <c r="A11" s="2" t="s">
        <v>13</v>
      </c>
      <c r="B11" s="2"/>
      <c r="C11" s="8">
        <v>0</v>
      </c>
      <c r="D11" s="1"/>
    </row>
    <row r="12" spans="1:4" x14ac:dyDescent="0.25">
      <c r="A12" s="2" t="s">
        <v>14</v>
      </c>
      <c r="B12" s="2"/>
      <c r="C12" s="17">
        <v>3575</v>
      </c>
      <c r="D12" s="20" t="s">
        <v>15</v>
      </c>
    </row>
    <row r="13" spans="1:4" x14ac:dyDescent="0.25">
      <c r="A13" s="5" t="s">
        <v>16</v>
      </c>
      <c r="B13" s="2"/>
      <c r="C13" s="8">
        <f>SUM(C7:C12)</f>
        <v>7165</v>
      </c>
      <c r="D13" s="2"/>
    </row>
    <row r="14" spans="1:4" x14ac:dyDescent="0.25">
      <c r="A14" s="12"/>
      <c r="B14" s="12"/>
      <c r="C14" s="13"/>
      <c r="D14" s="14"/>
    </row>
    <row r="15" spans="1:4" x14ac:dyDescent="0.25">
      <c r="A15" s="5" t="s">
        <v>17</v>
      </c>
      <c r="B15" s="2"/>
      <c r="C15" s="6" t="s">
        <v>6</v>
      </c>
      <c r="D15" s="2"/>
    </row>
    <row r="16" spans="1:4" x14ac:dyDescent="0.25">
      <c r="A16" s="2" t="s">
        <v>18</v>
      </c>
      <c r="B16" s="2"/>
      <c r="C16" s="4"/>
      <c r="D16" s="2"/>
    </row>
    <row r="17" spans="1:7" x14ac:dyDescent="0.25">
      <c r="A17" s="2"/>
      <c r="B17" s="15" t="s">
        <v>19</v>
      </c>
      <c r="C17" s="7">
        <v>25</v>
      </c>
      <c r="D17" s="2"/>
    </row>
    <row r="18" spans="1:7" x14ac:dyDescent="0.25">
      <c r="A18" s="2"/>
      <c r="B18" s="15" t="s">
        <v>20</v>
      </c>
      <c r="C18" s="7">
        <v>450</v>
      </c>
      <c r="D18" s="2"/>
    </row>
    <row r="19" spans="1:7" x14ac:dyDescent="0.25">
      <c r="A19" s="2"/>
      <c r="B19" s="15" t="s">
        <v>21</v>
      </c>
      <c r="C19" s="7">
        <v>420</v>
      </c>
      <c r="D19" s="2"/>
    </row>
    <row r="20" spans="1:7" x14ac:dyDescent="0.25">
      <c r="A20" s="2"/>
      <c r="B20" s="15" t="s">
        <v>22</v>
      </c>
      <c r="C20" s="7">
        <v>180</v>
      </c>
      <c r="D20" s="2"/>
    </row>
    <row r="21" spans="1:7" x14ac:dyDescent="0.25">
      <c r="A21" s="2"/>
      <c r="B21" s="15" t="s">
        <v>23</v>
      </c>
      <c r="C21" s="7">
        <v>50</v>
      </c>
      <c r="D21" s="2"/>
    </row>
    <row r="22" spans="1:7" x14ac:dyDescent="0.25">
      <c r="A22" s="2"/>
      <c r="B22" s="15" t="s">
        <v>24</v>
      </c>
      <c r="C22" s="7">
        <v>200</v>
      </c>
      <c r="D22" s="2" t="s">
        <v>25</v>
      </c>
    </row>
    <row r="23" spans="1:7" x14ac:dyDescent="0.25">
      <c r="A23" s="2"/>
      <c r="B23" s="15" t="s">
        <v>26</v>
      </c>
      <c r="C23" s="7">
        <v>75</v>
      </c>
      <c r="D23" s="2"/>
    </row>
    <row r="24" spans="1:7" x14ac:dyDescent="0.25">
      <c r="A24" s="2"/>
      <c r="B24" s="15" t="s">
        <v>27</v>
      </c>
      <c r="C24" s="7">
        <v>400</v>
      </c>
      <c r="D24" s="2"/>
    </row>
    <row r="25" spans="1:7" x14ac:dyDescent="0.25">
      <c r="A25" s="2"/>
      <c r="B25" s="15" t="s">
        <v>28</v>
      </c>
      <c r="C25" s="7">
        <v>300</v>
      </c>
      <c r="D25" s="2" t="s">
        <v>29</v>
      </c>
    </row>
    <row r="26" spans="1:7" x14ac:dyDescent="0.25">
      <c r="A26" s="5" t="s">
        <v>30</v>
      </c>
      <c r="B26" s="2"/>
      <c r="C26" s="8">
        <f>SUM(C17:C25)</f>
        <v>2100</v>
      </c>
      <c r="D26" s="2"/>
      <c r="F26" s="9"/>
    </row>
    <row r="27" spans="1:7" x14ac:dyDescent="0.25">
      <c r="A27" s="2"/>
      <c r="B27" s="2"/>
      <c r="C27" s="7"/>
      <c r="D27" s="2"/>
    </row>
    <row r="28" spans="1:7" x14ac:dyDescent="0.25">
      <c r="A28" s="2" t="s">
        <v>31</v>
      </c>
      <c r="B28" s="2"/>
      <c r="C28" s="7"/>
      <c r="D28" s="2"/>
    </row>
    <row r="29" spans="1:7" x14ac:dyDescent="0.25">
      <c r="A29" s="2"/>
      <c r="B29" s="2" t="s">
        <v>32</v>
      </c>
      <c r="C29" s="7">
        <v>100</v>
      </c>
      <c r="D29" s="2"/>
    </row>
    <row r="30" spans="1:7" x14ac:dyDescent="0.25">
      <c r="A30" s="2"/>
      <c r="B30" s="2" t="s">
        <v>33</v>
      </c>
      <c r="C30" s="7">
        <v>250</v>
      </c>
      <c r="D30" s="2"/>
      <c r="G30" s="18"/>
    </row>
    <row r="31" spans="1:7" x14ac:dyDescent="0.25">
      <c r="A31" s="2"/>
      <c r="B31" s="2" t="s">
        <v>34</v>
      </c>
      <c r="C31" s="7">
        <v>1500</v>
      </c>
      <c r="D31" s="2"/>
      <c r="G31" s="18"/>
    </row>
    <row r="32" spans="1:7" x14ac:dyDescent="0.25">
      <c r="A32" s="5" t="s">
        <v>35</v>
      </c>
      <c r="B32" s="2"/>
      <c r="C32" s="8">
        <f>SUM(C29:C31)</f>
        <v>1850</v>
      </c>
      <c r="D32" s="2"/>
      <c r="G32" s="18"/>
    </row>
    <row r="33" spans="1:7" x14ac:dyDescent="0.25">
      <c r="A33" s="2"/>
      <c r="B33" s="2"/>
      <c r="C33" s="7"/>
      <c r="D33" s="2"/>
      <c r="G33" s="18"/>
    </row>
    <row r="34" spans="1:7" x14ac:dyDescent="0.25">
      <c r="A34" s="2" t="s">
        <v>36</v>
      </c>
      <c r="B34" s="2"/>
      <c r="C34" s="7"/>
      <c r="D34" s="2"/>
    </row>
    <row r="35" spans="1:7" x14ac:dyDescent="0.25">
      <c r="A35" s="2"/>
      <c r="B35" s="15" t="s">
        <v>37</v>
      </c>
      <c r="C35" s="7">
        <v>50</v>
      </c>
      <c r="D35" s="2"/>
      <c r="G35" s="18"/>
    </row>
    <row r="36" spans="1:7" x14ac:dyDescent="0.25">
      <c r="A36" s="2"/>
      <c r="B36" s="15" t="s">
        <v>38</v>
      </c>
      <c r="C36" s="7">
        <v>100</v>
      </c>
      <c r="D36" s="2"/>
    </row>
    <row r="37" spans="1:7" x14ac:dyDescent="0.25">
      <c r="A37" s="2"/>
      <c r="B37" s="15" t="s">
        <v>39</v>
      </c>
      <c r="C37" s="7">
        <v>50</v>
      </c>
      <c r="D37" s="2"/>
    </row>
    <row r="38" spans="1:7" x14ac:dyDescent="0.25">
      <c r="A38" s="2"/>
      <c r="B38" s="16" t="s">
        <v>40</v>
      </c>
      <c r="C38" s="7">
        <v>275</v>
      </c>
      <c r="D38" s="2" t="s">
        <v>41</v>
      </c>
    </row>
    <row r="39" spans="1:7" x14ac:dyDescent="0.25">
      <c r="A39" s="5" t="s">
        <v>42</v>
      </c>
      <c r="B39" s="2"/>
      <c r="C39" s="8">
        <f>SUM(C35:C38)</f>
        <v>475</v>
      </c>
      <c r="D39" s="2"/>
      <c r="F39" s="9"/>
    </row>
    <row r="40" spans="1:7" x14ac:dyDescent="0.25">
      <c r="A40" s="2"/>
      <c r="B40" s="2"/>
      <c r="C40" s="7"/>
      <c r="D40" s="2"/>
    </row>
    <row r="41" spans="1:7" x14ac:dyDescent="0.25">
      <c r="A41" s="2" t="s">
        <v>43</v>
      </c>
      <c r="B41" s="2"/>
      <c r="C41" s="7"/>
      <c r="D41" s="2"/>
    </row>
    <row r="42" spans="1:7" x14ac:dyDescent="0.25">
      <c r="A42" s="2"/>
      <c r="B42" s="15" t="s">
        <v>44</v>
      </c>
      <c r="C42" s="7">
        <v>300</v>
      </c>
      <c r="D42" s="2" t="s">
        <v>45</v>
      </c>
    </row>
    <row r="43" spans="1:7" x14ac:dyDescent="0.25">
      <c r="A43" s="2"/>
      <c r="B43" s="15" t="s">
        <v>46</v>
      </c>
      <c r="C43" s="7">
        <v>300</v>
      </c>
      <c r="D43" s="2"/>
    </row>
    <row r="44" spans="1:7" x14ac:dyDescent="0.25">
      <c r="A44" s="2"/>
      <c r="B44" s="15" t="s">
        <v>39</v>
      </c>
      <c r="C44" s="7">
        <v>500</v>
      </c>
      <c r="D44" s="2" t="s">
        <v>47</v>
      </c>
    </row>
    <row r="45" spans="1:7" x14ac:dyDescent="0.25">
      <c r="A45" s="2"/>
      <c r="B45" s="16" t="s">
        <v>48</v>
      </c>
      <c r="C45" s="7">
        <v>300</v>
      </c>
      <c r="D45" s="2"/>
    </row>
    <row r="46" spans="1:7" x14ac:dyDescent="0.25">
      <c r="A46" s="2"/>
      <c r="B46" s="15" t="s">
        <v>49</v>
      </c>
      <c r="C46" s="7">
        <v>200</v>
      </c>
      <c r="D46" s="2"/>
    </row>
    <row r="47" spans="1:7" x14ac:dyDescent="0.25">
      <c r="A47" s="2"/>
      <c r="B47" s="15" t="s">
        <v>50</v>
      </c>
      <c r="C47" s="7">
        <v>500</v>
      </c>
      <c r="D47" s="2"/>
    </row>
    <row r="48" spans="1:7" x14ac:dyDescent="0.25">
      <c r="A48" s="5" t="s">
        <v>51</v>
      </c>
      <c r="B48" s="2"/>
      <c r="C48" s="8">
        <f>SUM(C42:C47)</f>
        <v>2100</v>
      </c>
      <c r="D48" s="2"/>
      <c r="F48" s="9"/>
    </row>
    <row r="49" spans="1:6" x14ac:dyDescent="0.25">
      <c r="A49" s="2"/>
      <c r="B49" s="2"/>
      <c r="C49" s="7"/>
      <c r="D49" s="2"/>
    </row>
    <row r="50" spans="1:6" x14ac:dyDescent="0.25">
      <c r="A50" s="2" t="s">
        <v>52</v>
      </c>
      <c r="B50" s="2"/>
      <c r="C50" s="7"/>
      <c r="D50" s="2"/>
    </row>
    <row r="51" spans="1:6" x14ac:dyDescent="0.25">
      <c r="A51" s="2"/>
      <c r="B51" s="15" t="s">
        <v>53</v>
      </c>
      <c r="C51" s="7">
        <v>100</v>
      </c>
      <c r="D51" s="2"/>
    </row>
    <row r="52" spans="1:6" x14ac:dyDescent="0.25">
      <c r="A52" s="5" t="s">
        <v>54</v>
      </c>
      <c r="B52" s="2"/>
      <c r="C52" s="8">
        <f>SUM(C51:C51)</f>
        <v>100</v>
      </c>
      <c r="D52" s="2"/>
    </row>
    <row r="53" spans="1:6" x14ac:dyDescent="0.25">
      <c r="A53" s="2"/>
      <c r="B53" s="2"/>
      <c r="C53" s="8"/>
      <c r="D53" s="2"/>
    </row>
    <row r="54" spans="1:6" x14ac:dyDescent="0.25">
      <c r="A54" s="2" t="s">
        <v>55</v>
      </c>
      <c r="B54" s="2"/>
      <c r="C54" s="8"/>
      <c r="D54" s="2"/>
    </row>
    <row r="55" spans="1:6" x14ac:dyDescent="0.25">
      <c r="A55" s="2"/>
      <c r="B55" s="2" t="s">
        <v>56</v>
      </c>
      <c r="C55" s="17">
        <v>250</v>
      </c>
      <c r="D55" s="2"/>
    </row>
    <row r="56" spans="1:6" x14ac:dyDescent="0.25">
      <c r="A56" s="2"/>
      <c r="B56" s="2" t="s">
        <v>57</v>
      </c>
      <c r="C56" s="17">
        <v>250</v>
      </c>
      <c r="D56" s="2"/>
    </row>
    <row r="57" spans="1:6" x14ac:dyDescent="0.25">
      <c r="A57" s="2"/>
      <c r="B57" s="2" t="s">
        <v>58</v>
      </c>
      <c r="C57" s="17">
        <v>40</v>
      </c>
      <c r="D57" s="2"/>
    </row>
    <row r="58" spans="1:6" x14ac:dyDescent="0.25">
      <c r="A58" s="5" t="s">
        <v>59</v>
      </c>
      <c r="B58" s="2"/>
      <c r="C58" s="8">
        <f>SUM(C55:C57)</f>
        <v>540</v>
      </c>
      <c r="D58" s="2"/>
    </row>
    <row r="59" spans="1:6" x14ac:dyDescent="0.25">
      <c r="A59" s="2"/>
      <c r="B59" s="2"/>
      <c r="C59" s="8"/>
      <c r="D59" s="2"/>
    </row>
    <row r="60" spans="1:6" x14ac:dyDescent="0.25">
      <c r="A60" s="5" t="s">
        <v>60</v>
      </c>
      <c r="B60" s="2"/>
      <c r="C60" s="8">
        <f>C26+C32+C39+C48+C52+C58</f>
        <v>7165</v>
      </c>
      <c r="D60" s="2"/>
      <c r="F60" s="9"/>
    </row>
    <row r="61" spans="1:6" x14ac:dyDescent="0.25">
      <c r="A61" s="2"/>
      <c r="B61" s="2"/>
      <c r="C61" s="9"/>
      <c r="D61" s="2"/>
    </row>
    <row r="62" spans="1:6" x14ac:dyDescent="0.25">
      <c r="A62" s="21"/>
      <c r="B62" s="21"/>
      <c r="C62" s="23"/>
      <c r="D62" s="22"/>
    </row>
    <row r="63" spans="1:6" x14ac:dyDescent="0.25">
      <c r="A63" t="s">
        <v>61</v>
      </c>
    </row>
  </sheetData>
  <pageMargins left="0.45" right="0.45" top="0.5" bottom="0.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B202D-1408-44F3-80D5-4382FDC40391}">
  <dimension ref="A1:S74"/>
  <sheetViews>
    <sheetView tabSelected="1" zoomScaleNormal="100" workbookViewId="0">
      <selection activeCell="Q51" sqref="Q51"/>
    </sheetView>
  </sheetViews>
  <sheetFormatPr defaultColWidth="9.140625" defaultRowHeight="15" x14ac:dyDescent="0.25"/>
  <cols>
    <col min="1" max="1" width="21.5703125" customWidth="1"/>
    <col min="2" max="2" width="28.140625" customWidth="1"/>
    <col min="3" max="3" width="10.5703125" customWidth="1"/>
    <col min="4" max="4" width="4.42578125" customWidth="1"/>
    <col min="5" max="5" width="4.140625" customWidth="1"/>
    <col min="6" max="6" width="5" customWidth="1"/>
    <col min="7" max="7" width="4" customWidth="1"/>
    <col min="8" max="9" width="4.5703125" customWidth="1"/>
    <col min="10" max="10" width="3.85546875" customWidth="1"/>
    <col min="11" max="11" width="10.42578125" customWidth="1"/>
    <col min="12" max="12" width="10.28515625" customWidth="1"/>
    <col min="13" max="13" width="10" customWidth="1"/>
    <col min="14" max="14" width="10.7109375" customWidth="1"/>
    <col min="15" max="15" width="11" customWidth="1"/>
    <col min="16" max="16" width="13.28515625" customWidth="1"/>
    <col min="17" max="17" width="29.7109375" customWidth="1"/>
  </cols>
  <sheetData>
    <row r="1" spans="1:19" x14ac:dyDescent="0.25">
      <c r="A1" s="10" t="s">
        <v>0</v>
      </c>
      <c r="B1" s="11"/>
      <c r="C1" s="73">
        <v>46210</v>
      </c>
    </row>
    <row r="3" spans="1:19" x14ac:dyDescent="0.25">
      <c r="C3" s="46">
        <v>45838</v>
      </c>
      <c r="D3" s="42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  <c r="N3" s="1" t="s">
        <v>72</v>
      </c>
      <c r="O3" s="1" t="s">
        <v>73</v>
      </c>
      <c r="P3" s="82" t="s">
        <v>74</v>
      </c>
      <c r="Q3" s="64" t="s">
        <v>2</v>
      </c>
    </row>
    <row r="4" spans="1:19" ht="15.95" customHeight="1" x14ac:dyDescent="0.25">
      <c r="A4" s="25" t="s">
        <v>75</v>
      </c>
      <c r="B4" s="2"/>
      <c r="C4" s="43">
        <v>18112.27</v>
      </c>
      <c r="D4" s="24">
        <v>18021.8</v>
      </c>
      <c r="E4" s="24">
        <v>18354.29</v>
      </c>
      <c r="F4" s="24">
        <v>21203.48</v>
      </c>
      <c r="G4" s="24">
        <v>16338.75</v>
      </c>
      <c r="H4" s="24">
        <v>14114.66</v>
      </c>
      <c r="I4" s="24">
        <v>14175.47</v>
      </c>
      <c r="J4" s="24">
        <v>12837.95</v>
      </c>
      <c r="K4" s="24">
        <v>15266.89</v>
      </c>
      <c r="L4" s="24">
        <v>14912.74</v>
      </c>
      <c r="M4" s="24">
        <v>15167.95</v>
      </c>
      <c r="N4" s="24">
        <v>15774.83</v>
      </c>
      <c r="O4" s="24">
        <v>15084.74</v>
      </c>
      <c r="P4" s="24"/>
      <c r="Q4" s="83"/>
    </row>
    <row r="5" spans="1:19" x14ac:dyDescent="0.2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1"/>
    </row>
    <row r="6" spans="1:19" x14ac:dyDescent="0.25">
      <c r="A6" s="5" t="s">
        <v>5</v>
      </c>
      <c r="B6" s="5"/>
      <c r="C6" s="6" t="s">
        <v>6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27" t="s">
        <v>2</v>
      </c>
    </row>
    <row r="7" spans="1:19" ht="60" x14ac:dyDescent="0.25">
      <c r="A7" s="2" t="s">
        <v>76</v>
      </c>
      <c r="B7" s="2"/>
      <c r="C7" s="7">
        <v>1090</v>
      </c>
      <c r="D7" s="7">
        <f>105+75+140.3+60.89+72.54</f>
        <v>453.73</v>
      </c>
      <c r="E7" s="7">
        <f>75+95+238.72+314.73+507.13</f>
        <v>1230.58</v>
      </c>
      <c r="F7" s="7">
        <f>75+150+60</f>
        <v>285</v>
      </c>
      <c r="G7" s="7">
        <f>75+75</f>
        <v>150</v>
      </c>
      <c r="H7" s="7">
        <f>75+75+75+89.43</f>
        <v>314.43</v>
      </c>
      <c r="I7" s="56">
        <f>486+484+15+3.99+45.49</f>
        <v>1034.48</v>
      </c>
      <c r="J7" s="7">
        <f>613.62+289.51+81.66+135</f>
        <v>1119.79</v>
      </c>
      <c r="K7" s="7">
        <f>75+75+75+72.54+50+75+4+12.64+60+13.61+20+60+71.89+13.61+13.61</f>
        <v>691.9</v>
      </c>
      <c r="L7" s="7">
        <v>941.97</v>
      </c>
      <c r="M7" s="7">
        <f>75+45+75+3.04+13.61+13.61+12.64+45+13.61+9.71+11.6+75+75+75+75+75+20+13.61</f>
        <v>726.43</v>
      </c>
      <c r="N7" s="7">
        <v>671.53</v>
      </c>
      <c r="O7" s="7">
        <v>737.75</v>
      </c>
      <c r="P7" s="7">
        <f>D7+E7+F7+G7+H7+I7+J7+K7+L7+M7+N7+O7</f>
        <v>8357.59</v>
      </c>
      <c r="Q7" s="26" t="s">
        <v>77</v>
      </c>
    </row>
    <row r="8" spans="1:19" x14ac:dyDescent="0.25">
      <c r="A8" s="2" t="s">
        <v>9</v>
      </c>
      <c r="B8" s="2"/>
      <c r="C8" s="4"/>
      <c r="D8" s="4"/>
      <c r="E8" s="4"/>
      <c r="F8" s="4"/>
      <c r="G8" s="4"/>
      <c r="H8" s="4"/>
      <c r="I8" s="78"/>
      <c r="J8" s="4"/>
      <c r="K8" s="4"/>
      <c r="L8" s="4"/>
      <c r="M8" s="4"/>
      <c r="N8" s="4"/>
      <c r="O8" s="4"/>
      <c r="P8" s="4"/>
      <c r="Q8" s="28"/>
    </row>
    <row r="9" spans="1:19" x14ac:dyDescent="0.25">
      <c r="A9" s="2"/>
      <c r="B9" s="2" t="s">
        <v>10</v>
      </c>
      <c r="C9" s="7">
        <v>2000</v>
      </c>
      <c r="D9" s="7">
        <v>25</v>
      </c>
      <c r="E9" s="7">
        <v>100</v>
      </c>
      <c r="F9" s="7">
        <v>0</v>
      </c>
      <c r="G9" s="74">
        <f>5+100+400</f>
        <v>505</v>
      </c>
      <c r="H9" s="7">
        <v>55</v>
      </c>
      <c r="I9" s="56">
        <v>0</v>
      </c>
      <c r="J9" s="7">
        <f>100+72.08+24.03+25</f>
        <v>221.10999999999999</v>
      </c>
      <c r="K9" s="7">
        <f>20+25+25</f>
        <v>70</v>
      </c>
      <c r="L9" s="7">
        <v>2325</v>
      </c>
      <c r="M9" s="7">
        <f>21.82+48.06+25+100+25+100</f>
        <v>319.88</v>
      </c>
      <c r="N9" s="7">
        <v>100</v>
      </c>
      <c r="O9" s="7">
        <v>34.630000000000003</v>
      </c>
      <c r="P9" s="7">
        <f t="shared" ref="P9:P12" si="0">D9+E9+F9+G9+H9+I9+J9+K9+L9+M9+N9+O9</f>
        <v>3755.6200000000003</v>
      </c>
      <c r="Q9" s="28"/>
    </row>
    <row r="10" spans="1:19" ht="24" x14ac:dyDescent="0.25">
      <c r="A10" s="2"/>
      <c r="B10" s="2" t="s">
        <v>11</v>
      </c>
      <c r="C10" s="7">
        <v>500</v>
      </c>
      <c r="D10" s="7">
        <v>0</v>
      </c>
      <c r="E10" s="7">
        <v>0</v>
      </c>
      <c r="F10" s="7">
        <v>0</v>
      </c>
      <c r="G10" s="7">
        <f>514+1412.5</f>
        <v>1926.5</v>
      </c>
      <c r="H10" s="7">
        <v>82</v>
      </c>
      <c r="I10" s="56">
        <v>0</v>
      </c>
      <c r="J10" s="56">
        <v>0</v>
      </c>
      <c r="K10" s="84"/>
      <c r="L10" s="7"/>
      <c r="M10" s="7">
        <v>5</v>
      </c>
      <c r="N10" s="56">
        <v>0</v>
      </c>
      <c r="O10" s="7">
        <v>0</v>
      </c>
      <c r="P10" s="7">
        <f t="shared" si="0"/>
        <v>2013.5</v>
      </c>
      <c r="Q10" s="26" t="s">
        <v>78</v>
      </c>
    </row>
    <row r="11" spans="1:19" ht="24.75" x14ac:dyDescent="0.25">
      <c r="A11" s="2" t="s">
        <v>13</v>
      </c>
      <c r="B11" s="2"/>
      <c r="C11" s="8">
        <v>0</v>
      </c>
      <c r="D11" s="7">
        <v>0</v>
      </c>
      <c r="E11" s="8">
        <v>0</v>
      </c>
      <c r="F11" s="7">
        <v>2800</v>
      </c>
      <c r="G11" s="7">
        <v>600</v>
      </c>
      <c r="H11" s="8">
        <v>0</v>
      </c>
      <c r="I11" s="57">
        <v>0</v>
      </c>
      <c r="J11" s="56">
        <v>0</v>
      </c>
      <c r="K11" s="85">
        <v>0</v>
      </c>
      <c r="L11" s="8">
        <v>0</v>
      </c>
      <c r="M11" s="57">
        <v>0</v>
      </c>
      <c r="N11" s="57">
        <v>0</v>
      </c>
      <c r="O11" s="8">
        <v>0</v>
      </c>
      <c r="P11" s="7">
        <f t="shared" si="0"/>
        <v>3400</v>
      </c>
      <c r="Q11" s="75" t="s">
        <v>79</v>
      </c>
    </row>
    <row r="12" spans="1:19" ht="24.75" customHeight="1" x14ac:dyDescent="0.25">
      <c r="A12" s="2" t="s">
        <v>14</v>
      </c>
      <c r="B12" s="2"/>
      <c r="C12" s="17">
        <v>3575</v>
      </c>
      <c r="D12" s="17">
        <v>0</v>
      </c>
      <c r="E12" s="17">
        <v>150</v>
      </c>
      <c r="F12" s="17">
        <v>0</v>
      </c>
      <c r="G12" s="17">
        <v>1350</v>
      </c>
      <c r="H12" s="17">
        <v>0</v>
      </c>
      <c r="I12" s="17">
        <v>0</v>
      </c>
      <c r="J12" s="59">
        <v>0</v>
      </c>
      <c r="K12" s="86">
        <v>0</v>
      </c>
      <c r="L12" s="17">
        <v>0</v>
      </c>
      <c r="M12" s="17">
        <f>105+25+99</f>
        <v>229</v>
      </c>
      <c r="N12" s="17">
        <f>100+995</f>
        <v>1095</v>
      </c>
      <c r="O12" s="17">
        <v>0</v>
      </c>
      <c r="P12" s="17">
        <f t="shared" si="0"/>
        <v>2824</v>
      </c>
      <c r="Q12" s="62" t="s">
        <v>80</v>
      </c>
    </row>
    <row r="13" spans="1:19" x14ac:dyDescent="0.25">
      <c r="A13" s="47" t="s">
        <v>81</v>
      </c>
      <c r="B13" s="2"/>
      <c r="C13" s="17"/>
      <c r="D13" s="17"/>
      <c r="E13" s="17"/>
      <c r="F13" s="17"/>
      <c r="G13" s="17"/>
      <c r="H13" s="17"/>
      <c r="I13" s="17"/>
      <c r="J13" s="17">
        <v>400</v>
      </c>
      <c r="K13" s="17">
        <v>80</v>
      </c>
      <c r="L13" s="17">
        <v>0</v>
      </c>
      <c r="M13" s="17">
        <f>314+45+110+55+45</f>
        <v>569</v>
      </c>
      <c r="N13" s="17">
        <v>261</v>
      </c>
      <c r="O13" s="17">
        <f>140+24.33</f>
        <v>164.32999999999998</v>
      </c>
      <c r="P13" s="17">
        <f>SUM(C13:O13)</f>
        <v>1474.33</v>
      </c>
      <c r="Q13" s="62" t="s">
        <v>82</v>
      </c>
    </row>
    <row r="14" spans="1:19" x14ac:dyDescent="0.25">
      <c r="A14" s="5" t="s">
        <v>16</v>
      </c>
      <c r="B14" s="2"/>
      <c r="C14" s="8">
        <f t="shared" ref="C14:I14" si="1">SUM(C7:C12)</f>
        <v>7165</v>
      </c>
      <c r="D14" s="8">
        <f t="shared" si="1"/>
        <v>478.73</v>
      </c>
      <c r="E14" s="8">
        <f t="shared" si="1"/>
        <v>1480.58</v>
      </c>
      <c r="F14" s="8">
        <f t="shared" si="1"/>
        <v>3085</v>
      </c>
      <c r="G14" s="8">
        <f t="shared" si="1"/>
        <v>4531.5</v>
      </c>
      <c r="H14" s="8">
        <f t="shared" si="1"/>
        <v>451.43</v>
      </c>
      <c r="I14" s="8">
        <f t="shared" si="1"/>
        <v>1034.48</v>
      </c>
      <c r="J14" s="8">
        <f t="shared" ref="J14:P14" si="2">SUM(J7:J13)</f>
        <v>1740.8999999999999</v>
      </c>
      <c r="K14" s="8">
        <f t="shared" si="2"/>
        <v>841.9</v>
      </c>
      <c r="L14" s="8">
        <f t="shared" si="2"/>
        <v>3266.9700000000003</v>
      </c>
      <c r="M14" s="8">
        <f t="shared" si="2"/>
        <v>1849.31</v>
      </c>
      <c r="N14" s="8">
        <f t="shared" si="2"/>
        <v>2127.5299999999997</v>
      </c>
      <c r="O14" s="8">
        <f t="shared" si="2"/>
        <v>936.71</v>
      </c>
      <c r="P14" s="8">
        <f t="shared" si="2"/>
        <v>21825.040000000001</v>
      </c>
      <c r="Q14" s="28"/>
    </row>
    <row r="15" spans="1:19" x14ac:dyDescent="0.25">
      <c r="A15" s="12"/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35"/>
      <c r="S15" s="9"/>
    </row>
    <row r="16" spans="1:19" x14ac:dyDescent="0.25">
      <c r="A16" s="5" t="s">
        <v>17</v>
      </c>
      <c r="B16" s="2"/>
      <c r="C16" s="6" t="s">
        <v>6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44"/>
      <c r="P16" s="50" t="s">
        <v>83</v>
      </c>
      <c r="Q16" s="34"/>
    </row>
    <row r="17" spans="1:17" x14ac:dyDescent="0.25">
      <c r="A17" s="2" t="s">
        <v>18</v>
      </c>
      <c r="B17" s="2"/>
      <c r="C17" s="4"/>
      <c r="D17" s="32"/>
      <c r="E17" s="32"/>
      <c r="F17" s="4"/>
      <c r="G17" s="4"/>
      <c r="H17" s="4"/>
      <c r="I17" s="4"/>
      <c r="J17" s="4"/>
      <c r="K17" s="4"/>
      <c r="L17" s="4"/>
      <c r="M17" s="4"/>
      <c r="N17" s="4"/>
      <c r="O17" s="45"/>
      <c r="P17" s="51"/>
      <c r="Q17" s="34"/>
    </row>
    <row r="18" spans="1:17" x14ac:dyDescent="0.25">
      <c r="A18" s="2"/>
      <c r="B18" s="15" t="s">
        <v>19</v>
      </c>
      <c r="C18" s="7">
        <v>25</v>
      </c>
      <c r="D18" s="29">
        <v>0</v>
      </c>
      <c r="E18" s="29">
        <v>0</v>
      </c>
      <c r="F18" s="31">
        <v>0</v>
      </c>
      <c r="G18" s="7">
        <v>0</v>
      </c>
      <c r="H18" s="7">
        <v>0</v>
      </c>
      <c r="I18" s="7">
        <v>10</v>
      </c>
      <c r="J18" s="7">
        <v>0</v>
      </c>
      <c r="K18" s="7">
        <v>25</v>
      </c>
      <c r="L18" s="56">
        <v>0</v>
      </c>
      <c r="M18" s="56">
        <v>0</v>
      </c>
      <c r="N18" s="7">
        <v>0</v>
      </c>
      <c r="O18" s="29">
        <v>0</v>
      </c>
      <c r="P18" s="52">
        <f t="shared" ref="P18:P25" si="3">C18-(D18+E18+F18+G18+H18+I18+J18+K18+L18+M18+N18+O18)</f>
        <v>-10</v>
      </c>
      <c r="Q18" s="30"/>
    </row>
    <row r="19" spans="1:17" ht="24" x14ac:dyDescent="0.25">
      <c r="A19" s="2"/>
      <c r="B19" s="36" t="s">
        <v>20</v>
      </c>
      <c r="C19" s="7">
        <v>450</v>
      </c>
      <c r="D19" s="29">
        <v>159</v>
      </c>
      <c r="E19" s="29">
        <v>0</v>
      </c>
      <c r="F19" s="31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56">
        <v>0</v>
      </c>
      <c r="M19" s="56">
        <v>0</v>
      </c>
      <c r="N19" s="7">
        <v>0</v>
      </c>
      <c r="O19" s="29">
        <v>0</v>
      </c>
      <c r="P19" s="53">
        <f t="shared" si="3"/>
        <v>291</v>
      </c>
      <c r="Q19" s="48" t="s">
        <v>84</v>
      </c>
    </row>
    <row r="20" spans="1:17" ht="24" x14ac:dyDescent="0.25">
      <c r="A20" s="2"/>
      <c r="B20" s="47" t="s">
        <v>85</v>
      </c>
      <c r="C20" s="7"/>
      <c r="D20" s="29">
        <v>50</v>
      </c>
      <c r="E20" s="29">
        <v>50</v>
      </c>
      <c r="F20" s="31">
        <v>50</v>
      </c>
      <c r="G20" s="7">
        <v>50</v>
      </c>
      <c r="H20" s="7">
        <v>50</v>
      </c>
      <c r="I20" s="7">
        <v>50</v>
      </c>
      <c r="J20" s="7">
        <v>50</v>
      </c>
      <c r="K20" s="7">
        <v>50</v>
      </c>
      <c r="L20" s="7">
        <v>50</v>
      </c>
      <c r="M20" s="7">
        <v>50</v>
      </c>
      <c r="N20" s="7">
        <v>50</v>
      </c>
      <c r="O20" s="29">
        <v>50</v>
      </c>
      <c r="P20" s="52">
        <f t="shared" si="3"/>
        <v>-600</v>
      </c>
      <c r="Q20" s="48" t="s">
        <v>86</v>
      </c>
    </row>
    <row r="21" spans="1:17" ht="24.75" x14ac:dyDescent="0.25">
      <c r="A21" s="2"/>
      <c r="B21" s="15" t="s">
        <v>21</v>
      </c>
      <c r="C21" s="7">
        <v>420</v>
      </c>
      <c r="D21" s="29">
        <v>38</v>
      </c>
      <c r="E21" s="29">
        <v>38</v>
      </c>
      <c r="F21" s="31">
        <v>38</v>
      </c>
      <c r="G21" s="7">
        <v>38</v>
      </c>
      <c r="H21" s="7">
        <v>38</v>
      </c>
      <c r="I21" s="7">
        <v>38</v>
      </c>
      <c r="J21" s="7">
        <v>38</v>
      </c>
      <c r="K21" s="7">
        <v>38</v>
      </c>
      <c r="L21" s="7">
        <v>38</v>
      </c>
      <c r="M21" s="7">
        <v>38</v>
      </c>
      <c r="N21" s="7">
        <v>38</v>
      </c>
      <c r="O21" s="33">
        <v>38</v>
      </c>
      <c r="P21" s="33">
        <f t="shared" si="3"/>
        <v>-36</v>
      </c>
      <c r="Q21" s="49" t="s">
        <v>87</v>
      </c>
    </row>
    <row r="22" spans="1:17" x14ac:dyDescent="0.25">
      <c r="A22" s="2"/>
      <c r="B22" s="15" t="s">
        <v>22</v>
      </c>
      <c r="C22" s="7">
        <v>180</v>
      </c>
      <c r="D22" s="39">
        <v>0</v>
      </c>
      <c r="E22" s="29">
        <v>168.7</v>
      </c>
      <c r="F22" s="31">
        <v>0</v>
      </c>
      <c r="G22" s="7">
        <v>0</v>
      </c>
      <c r="H22" s="7">
        <v>0</v>
      </c>
      <c r="I22" s="56">
        <v>0</v>
      </c>
      <c r="J22" s="7">
        <v>0</v>
      </c>
      <c r="K22" s="84">
        <v>0</v>
      </c>
      <c r="L22" s="56">
        <v>0</v>
      </c>
      <c r="M22" s="56">
        <v>0</v>
      </c>
      <c r="N22" s="7">
        <v>0</v>
      </c>
      <c r="O22" s="7">
        <v>0</v>
      </c>
      <c r="P22" s="7">
        <f t="shared" si="3"/>
        <v>11.300000000000011</v>
      </c>
      <c r="Q22" s="34"/>
    </row>
    <row r="23" spans="1:17" x14ac:dyDescent="0.25">
      <c r="A23" s="2"/>
      <c r="B23" s="15" t="s">
        <v>23</v>
      </c>
      <c r="C23" s="7">
        <v>50</v>
      </c>
      <c r="D23" s="29">
        <f>7+31.2</f>
        <v>38.200000000000003</v>
      </c>
      <c r="E23" s="29">
        <v>0</v>
      </c>
      <c r="F23" s="31">
        <v>31.2</v>
      </c>
      <c r="G23" s="7">
        <v>0</v>
      </c>
      <c r="H23" s="7">
        <v>0</v>
      </c>
      <c r="I23" s="56">
        <v>0</v>
      </c>
      <c r="J23" s="7">
        <f>15.6+9.1+3.7</f>
        <v>28.4</v>
      </c>
      <c r="K23" s="84">
        <v>0</v>
      </c>
      <c r="L23" s="56">
        <v>0</v>
      </c>
      <c r="M23" s="56">
        <v>0</v>
      </c>
      <c r="N23" s="7">
        <v>0</v>
      </c>
      <c r="O23" s="7">
        <v>0</v>
      </c>
      <c r="P23" s="7">
        <f t="shared" si="3"/>
        <v>-47.800000000000011</v>
      </c>
      <c r="Q23" s="34"/>
    </row>
    <row r="24" spans="1:17" ht="24" x14ac:dyDescent="0.25">
      <c r="A24" s="2"/>
      <c r="B24" s="15" t="s">
        <v>24</v>
      </c>
      <c r="C24" s="7">
        <v>200</v>
      </c>
      <c r="D24" s="29">
        <v>0</v>
      </c>
      <c r="E24" s="29">
        <v>0</v>
      </c>
      <c r="F24" s="55">
        <v>0</v>
      </c>
      <c r="G24" s="7">
        <v>0</v>
      </c>
      <c r="H24" s="7">
        <f>118.59+166.16+9.48</f>
        <v>294.23</v>
      </c>
      <c r="I24" s="56">
        <v>0</v>
      </c>
      <c r="J24" s="7">
        <v>120.82</v>
      </c>
      <c r="K24" s="84">
        <v>0</v>
      </c>
      <c r="L24" s="56">
        <v>0</v>
      </c>
      <c r="M24" s="56">
        <v>0</v>
      </c>
      <c r="N24" s="7">
        <v>0</v>
      </c>
      <c r="O24" s="7">
        <v>129.99</v>
      </c>
      <c r="P24" s="7">
        <f t="shared" si="3"/>
        <v>-345.03999999999996</v>
      </c>
      <c r="Q24" s="77" t="s">
        <v>88</v>
      </c>
    </row>
    <row r="25" spans="1:17" x14ac:dyDescent="0.25">
      <c r="A25" s="2"/>
      <c r="B25" s="15" t="s">
        <v>26</v>
      </c>
      <c r="C25" s="7">
        <v>75</v>
      </c>
      <c r="D25" s="33">
        <v>0</v>
      </c>
      <c r="E25" s="33">
        <v>0</v>
      </c>
      <c r="F25" s="56">
        <v>0</v>
      </c>
      <c r="G25" s="7">
        <v>0</v>
      </c>
      <c r="H25" s="7">
        <v>0</v>
      </c>
      <c r="I25" s="56">
        <v>0</v>
      </c>
      <c r="J25" s="7">
        <v>0</v>
      </c>
      <c r="K25" s="84">
        <v>0</v>
      </c>
      <c r="L25" s="56">
        <v>0</v>
      </c>
      <c r="M25" s="56">
        <v>0</v>
      </c>
      <c r="N25" s="7">
        <v>0</v>
      </c>
      <c r="O25" s="7">
        <v>0</v>
      </c>
      <c r="P25" s="7">
        <f t="shared" si="3"/>
        <v>75</v>
      </c>
      <c r="Q25" s="28"/>
    </row>
    <row r="26" spans="1:17" x14ac:dyDescent="0.25">
      <c r="A26" s="2"/>
      <c r="B26" s="15" t="s">
        <v>27</v>
      </c>
      <c r="C26" s="7">
        <v>400</v>
      </c>
      <c r="D26" s="7">
        <v>0</v>
      </c>
      <c r="E26" s="7">
        <v>0</v>
      </c>
      <c r="F26" s="56">
        <v>0</v>
      </c>
      <c r="G26" s="7">
        <v>0</v>
      </c>
      <c r="H26" s="7">
        <v>400</v>
      </c>
      <c r="I26" s="56">
        <v>0</v>
      </c>
      <c r="J26" s="7">
        <v>0</v>
      </c>
      <c r="K26" s="84">
        <v>0</v>
      </c>
      <c r="L26" s="56">
        <v>0</v>
      </c>
      <c r="M26" s="56">
        <v>0</v>
      </c>
      <c r="N26" s="7">
        <v>0</v>
      </c>
      <c r="O26" s="7">
        <v>0</v>
      </c>
      <c r="P26" s="41">
        <v>0</v>
      </c>
      <c r="Q26" s="28"/>
    </row>
    <row r="27" spans="1:17" ht="24" x14ac:dyDescent="0.25">
      <c r="A27" s="2"/>
      <c r="B27" s="15" t="s">
        <v>28</v>
      </c>
      <c r="C27" s="7">
        <v>300</v>
      </c>
      <c r="D27" s="7">
        <v>0</v>
      </c>
      <c r="E27" s="7">
        <v>0</v>
      </c>
      <c r="F27" s="56">
        <v>0</v>
      </c>
      <c r="G27" s="7">
        <v>0</v>
      </c>
      <c r="H27" s="56">
        <v>0</v>
      </c>
      <c r="I27" s="56">
        <v>0</v>
      </c>
      <c r="J27" s="7">
        <v>100</v>
      </c>
      <c r="K27" s="84">
        <v>0</v>
      </c>
      <c r="L27" s="56">
        <v>0</v>
      </c>
      <c r="M27" s="56">
        <v>0</v>
      </c>
      <c r="N27" s="56">
        <v>0</v>
      </c>
      <c r="O27" s="7">
        <v>0</v>
      </c>
      <c r="P27" s="29">
        <f>C27-(D27+E27+F27+G27+H27+I27+J27+K27+L27+M27+N27+O27)</f>
        <v>200</v>
      </c>
      <c r="Q27" s="89" t="s">
        <v>89</v>
      </c>
    </row>
    <row r="28" spans="1:17" x14ac:dyDescent="0.25">
      <c r="A28" s="2"/>
      <c r="B28" s="47" t="s">
        <v>90</v>
      </c>
      <c r="C28" s="7"/>
      <c r="D28" s="7">
        <v>60</v>
      </c>
      <c r="E28" s="7">
        <f>40+75</f>
        <v>115</v>
      </c>
      <c r="F28" s="56">
        <v>0</v>
      </c>
      <c r="G28" s="7">
        <v>0</v>
      </c>
      <c r="H28" s="56">
        <v>0</v>
      </c>
      <c r="I28" s="56">
        <v>0</v>
      </c>
      <c r="J28" s="7">
        <v>0</v>
      </c>
      <c r="K28" s="84">
        <v>0</v>
      </c>
      <c r="L28" s="56">
        <v>0</v>
      </c>
      <c r="M28" s="56">
        <v>0</v>
      </c>
      <c r="N28" s="7">
        <v>0</v>
      </c>
      <c r="O28" s="7">
        <v>0</v>
      </c>
      <c r="P28" s="29">
        <f>C28-(D28+E28+F28+G28+H28+I28+J28+K28+L28+M28+N28+O28)</f>
        <v>-175</v>
      </c>
      <c r="Q28" s="40"/>
    </row>
    <row r="29" spans="1:17" ht="18" customHeight="1" x14ac:dyDescent="0.25">
      <c r="A29" s="2"/>
      <c r="B29" s="2" t="s">
        <v>91</v>
      </c>
      <c r="C29" s="7"/>
      <c r="D29" s="7"/>
      <c r="E29" s="7">
        <v>228</v>
      </c>
      <c r="F29" s="56">
        <v>0</v>
      </c>
      <c r="G29" s="7">
        <f>1770+2352+3712</f>
        <v>7834</v>
      </c>
      <c r="H29" s="7">
        <f>20+985</f>
        <v>1005</v>
      </c>
      <c r="I29" s="56">
        <v>375</v>
      </c>
      <c r="J29" s="7">
        <f>150+150+225+75+285</f>
        <v>885</v>
      </c>
      <c r="K29" s="7">
        <f>225+75</f>
        <v>300</v>
      </c>
      <c r="L29" s="7">
        <v>670</v>
      </c>
      <c r="M29" s="7">
        <v>450</v>
      </c>
      <c r="N29" s="7">
        <v>650</v>
      </c>
      <c r="O29" s="7">
        <v>300</v>
      </c>
      <c r="P29" s="29">
        <f>C29-(D29+E29+F29+G29+H29+I29+J29+K29+L29+M29+N29+O29)</f>
        <v>-12697</v>
      </c>
      <c r="Q29" s="76"/>
    </row>
    <row r="30" spans="1:17" x14ac:dyDescent="0.25">
      <c r="A30" s="2"/>
      <c r="B30" s="15"/>
      <c r="C30" s="7"/>
      <c r="D30" s="7"/>
      <c r="E30" s="7"/>
      <c r="F30" s="7"/>
      <c r="G30" s="7"/>
      <c r="H30" s="7"/>
      <c r="I30" s="56"/>
      <c r="J30" s="7"/>
      <c r="K30" s="7"/>
      <c r="L30" s="7"/>
      <c r="M30" s="7"/>
      <c r="N30" s="7"/>
      <c r="O30" s="7"/>
      <c r="P30" s="29"/>
      <c r="Q30" s="40"/>
    </row>
    <row r="31" spans="1:17" x14ac:dyDescent="0.25">
      <c r="A31" s="5" t="s">
        <v>30</v>
      </c>
      <c r="B31" s="2"/>
      <c r="C31" s="8">
        <f>SUM(C18:C27)</f>
        <v>2100</v>
      </c>
      <c r="D31" s="8">
        <f>SUM(D18:D30)</f>
        <v>345.2</v>
      </c>
      <c r="E31" s="8">
        <f>SUM(E18:E30)</f>
        <v>599.70000000000005</v>
      </c>
      <c r="F31" s="8">
        <f>SUM(F18:F30)</f>
        <v>119.2</v>
      </c>
      <c r="G31" s="8">
        <f>SUM(G17:G30)</f>
        <v>7922</v>
      </c>
      <c r="H31" s="8">
        <f t="shared" ref="H31:O31" si="4">SUM(H18:H30)</f>
        <v>1787.23</v>
      </c>
      <c r="I31" s="8">
        <f t="shared" si="4"/>
        <v>473</v>
      </c>
      <c r="J31" s="8">
        <f t="shared" si="4"/>
        <v>1222.22</v>
      </c>
      <c r="K31" s="8">
        <f t="shared" si="4"/>
        <v>413</v>
      </c>
      <c r="L31" s="8">
        <f t="shared" si="4"/>
        <v>758</v>
      </c>
      <c r="M31" s="8">
        <f t="shared" si="4"/>
        <v>538</v>
      </c>
      <c r="N31" s="8">
        <f t="shared" si="4"/>
        <v>738</v>
      </c>
      <c r="O31" s="8">
        <f t="shared" si="4"/>
        <v>517.99</v>
      </c>
      <c r="P31" s="54">
        <f>SUM(P17:P30)</f>
        <v>-13333.54</v>
      </c>
      <c r="Q31" s="40"/>
    </row>
    <row r="32" spans="1:17" x14ac:dyDescent="0.25">
      <c r="A32" s="2"/>
      <c r="B32" s="2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29"/>
      <c r="Q32" s="40"/>
    </row>
    <row r="33" spans="1:17" x14ac:dyDescent="0.25">
      <c r="A33" s="2" t="s">
        <v>31</v>
      </c>
      <c r="B33" s="2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29"/>
      <c r="Q33" s="40"/>
    </row>
    <row r="34" spans="1:17" x14ac:dyDescent="0.25">
      <c r="A34" s="2"/>
      <c r="B34" s="2" t="s">
        <v>32</v>
      </c>
      <c r="C34" s="7">
        <v>100</v>
      </c>
      <c r="D34" s="7">
        <v>0</v>
      </c>
      <c r="E34" s="7">
        <v>0</v>
      </c>
      <c r="F34" s="56">
        <v>0</v>
      </c>
      <c r="G34" s="7">
        <v>0</v>
      </c>
      <c r="H34" s="7">
        <v>0</v>
      </c>
      <c r="I34" s="56">
        <v>0</v>
      </c>
      <c r="J34" s="7">
        <v>0</v>
      </c>
      <c r="K34" s="84">
        <v>0</v>
      </c>
      <c r="L34" s="56">
        <v>0</v>
      </c>
      <c r="M34" s="56">
        <v>0</v>
      </c>
      <c r="N34" s="7">
        <v>0</v>
      </c>
      <c r="O34" s="7">
        <v>0</v>
      </c>
      <c r="P34" s="29">
        <f t="shared" ref="P34:P36" si="5">C34-(D34+E34+F34+G34+H34+I34+J34+K34+L34+M34+N34+O34)</f>
        <v>100</v>
      </c>
      <c r="Q34" s="40"/>
    </row>
    <row r="35" spans="1:17" x14ac:dyDescent="0.25">
      <c r="A35" s="2"/>
      <c r="B35" s="2" t="s">
        <v>33</v>
      </c>
      <c r="C35" s="7">
        <v>250</v>
      </c>
      <c r="D35" s="7">
        <v>0</v>
      </c>
      <c r="E35" s="7">
        <v>0</v>
      </c>
      <c r="F35" s="56">
        <v>0</v>
      </c>
      <c r="G35" s="7">
        <v>0</v>
      </c>
      <c r="H35" s="7">
        <v>0</v>
      </c>
      <c r="I35" s="56">
        <v>0</v>
      </c>
      <c r="J35" s="7">
        <v>0</v>
      </c>
      <c r="K35" s="84">
        <v>0</v>
      </c>
      <c r="L35" s="56">
        <v>0</v>
      </c>
      <c r="M35" s="56">
        <v>0</v>
      </c>
      <c r="N35" s="7">
        <v>0</v>
      </c>
      <c r="O35" s="7">
        <v>0</v>
      </c>
      <c r="P35" s="29">
        <f t="shared" si="5"/>
        <v>250</v>
      </c>
      <c r="Q35" s="40"/>
    </row>
    <row r="36" spans="1:17" x14ac:dyDescent="0.25">
      <c r="A36" s="2"/>
      <c r="B36" s="2" t="s">
        <v>34</v>
      </c>
      <c r="C36" s="7">
        <v>1500</v>
      </c>
      <c r="D36" s="7">
        <v>0</v>
      </c>
      <c r="E36" s="7">
        <f>200+124.76+50.85</f>
        <v>375.61</v>
      </c>
      <c r="F36" s="56">
        <v>0</v>
      </c>
      <c r="G36" s="7">
        <f>183.24+76.48+104.99+149.56+286.96</f>
        <v>801.23</v>
      </c>
      <c r="H36" s="7">
        <f>100+63.67+64.84</f>
        <v>228.51000000000002</v>
      </c>
      <c r="I36" s="7">
        <v>100</v>
      </c>
      <c r="J36" s="7">
        <v>225</v>
      </c>
      <c r="K36" s="84">
        <v>0</v>
      </c>
      <c r="L36" s="56">
        <v>0</v>
      </c>
      <c r="M36" s="56">
        <v>0</v>
      </c>
      <c r="N36" s="7">
        <v>0</v>
      </c>
      <c r="O36" s="7">
        <v>0</v>
      </c>
      <c r="P36" s="29">
        <f t="shared" si="5"/>
        <v>-230.35000000000014</v>
      </c>
      <c r="Q36" s="40"/>
    </row>
    <row r="37" spans="1:17" x14ac:dyDescent="0.25">
      <c r="A37" s="5" t="s">
        <v>35</v>
      </c>
      <c r="B37" s="2"/>
      <c r="C37" s="8">
        <f>SUM(C34:C36)</f>
        <v>1850</v>
      </c>
      <c r="D37" s="8">
        <v>0</v>
      </c>
      <c r="E37" s="8">
        <f>SUM(E34:E36)</f>
        <v>375.61</v>
      </c>
      <c r="F37" s="57">
        <v>0</v>
      </c>
      <c r="G37" s="8">
        <f>SUM(G34:G36)</f>
        <v>801.23</v>
      </c>
      <c r="H37" s="8">
        <f>SUM(H34:H36)</f>
        <v>228.51000000000002</v>
      </c>
      <c r="I37" s="8">
        <f>SUM(I34:I36)</f>
        <v>100</v>
      </c>
      <c r="J37" s="8">
        <f>SUM(J34:J36)</f>
        <v>225</v>
      </c>
      <c r="K37" s="85">
        <v>0</v>
      </c>
      <c r="L37" s="57">
        <v>0</v>
      </c>
      <c r="M37" s="57">
        <v>0</v>
      </c>
      <c r="N37" s="8">
        <v>0</v>
      </c>
      <c r="O37" s="8">
        <v>0</v>
      </c>
      <c r="P37" s="38">
        <f>SUM(P34:P36)</f>
        <v>119.64999999999986</v>
      </c>
      <c r="Q37" s="40"/>
    </row>
    <row r="38" spans="1:17" x14ac:dyDescent="0.25">
      <c r="A38" s="2"/>
      <c r="B38" s="2"/>
      <c r="C38" s="7"/>
      <c r="D38" s="7"/>
      <c r="E38" s="7"/>
      <c r="F38" s="56"/>
      <c r="G38" s="7"/>
      <c r="H38" s="7"/>
      <c r="I38" s="7"/>
      <c r="J38" s="7"/>
      <c r="K38" s="84"/>
      <c r="L38" s="7"/>
      <c r="M38" s="7"/>
      <c r="N38" s="7"/>
      <c r="O38" s="7"/>
      <c r="P38" s="29"/>
      <c r="Q38" s="40"/>
    </row>
    <row r="39" spans="1:17" x14ac:dyDescent="0.25">
      <c r="A39" s="2" t="s">
        <v>36</v>
      </c>
      <c r="B39" s="2"/>
      <c r="C39" s="7"/>
      <c r="D39" s="7"/>
      <c r="E39" s="7"/>
      <c r="F39" s="56"/>
      <c r="G39" s="7"/>
      <c r="H39" s="7"/>
      <c r="I39" s="7"/>
      <c r="J39" s="7"/>
      <c r="K39" s="84"/>
      <c r="L39" s="7"/>
      <c r="M39" s="7"/>
      <c r="N39" s="7"/>
      <c r="O39" s="7"/>
      <c r="P39" s="29"/>
      <c r="Q39" s="40"/>
    </row>
    <row r="40" spans="1:17" x14ac:dyDescent="0.25">
      <c r="A40" s="2"/>
      <c r="B40" s="15" t="s">
        <v>37</v>
      </c>
      <c r="C40" s="7">
        <v>50</v>
      </c>
      <c r="D40" s="7">
        <v>0</v>
      </c>
      <c r="E40" s="7">
        <v>0</v>
      </c>
      <c r="F40" s="56">
        <v>0</v>
      </c>
      <c r="G40" s="7">
        <v>0</v>
      </c>
      <c r="H40" s="56">
        <v>0</v>
      </c>
      <c r="I40" s="56">
        <v>0</v>
      </c>
      <c r="J40" s="7">
        <v>0</v>
      </c>
      <c r="K40" s="84">
        <v>0</v>
      </c>
      <c r="L40" s="7">
        <v>16.57</v>
      </c>
      <c r="M40" s="56">
        <v>0</v>
      </c>
      <c r="N40" s="7">
        <v>0</v>
      </c>
      <c r="O40" s="7">
        <v>114.97</v>
      </c>
      <c r="P40" s="29">
        <f t="shared" ref="P40:P43" si="6">C40-(D40+E40+F40+G40+H40+I40+J40+K40+L40+M40+N40+O40)</f>
        <v>-81.539999999999992</v>
      </c>
      <c r="Q40" s="40"/>
    </row>
    <row r="41" spans="1:17" x14ac:dyDescent="0.25">
      <c r="A41" s="2"/>
      <c r="B41" s="15" t="s">
        <v>38</v>
      </c>
      <c r="C41" s="7">
        <v>100</v>
      </c>
      <c r="D41" s="7">
        <v>0</v>
      </c>
      <c r="E41" s="7">
        <v>0</v>
      </c>
      <c r="F41" s="56">
        <v>0</v>
      </c>
      <c r="G41" s="7">
        <v>8.5</v>
      </c>
      <c r="H41" s="56">
        <v>0</v>
      </c>
      <c r="I41" s="56">
        <v>0</v>
      </c>
      <c r="J41" s="7">
        <v>0</v>
      </c>
      <c r="K41" s="84">
        <v>0</v>
      </c>
      <c r="L41" s="56">
        <v>0</v>
      </c>
      <c r="M41" s="56">
        <v>0</v>
      </c>
      <c r="N41" s="7">
        <v>0</v>
      </c>
      <c r="O41" s="7">
        <v>0</v>
      </c>
      <c r="P41" s="29">
        <f t="shared" si="6"/>
        <v>91.5</v>
      </c>
      <c r="Q41" s="40"/>
    </row>
    <row r="42" spans="1:17" x14ac:dyDescent="0.25">
      <c r="A42" s="2"/>
      <c r="B42" s="15" t="s">
        <v>39</v>
      </c>
      <c r="C42" s="7">
        <v>50</v>
      </c>
      <c r="D42" s="7">
        <v>0</v>
      </c>
      <c r="E42" s="7">
        <v>0</v>
      </c>
      <c r="F42" s="56">
        <v>0</v>
      </c>
      <c r="G42" s="7">
        <v>9</v>
      </c>
      <c r="H42" s="56">
        <v>0</v>
      </c>
      <c r="I42" s="56">
        <v>0</v>
      </c>
      <c r="J42" s="7">
        <v>15.6</v>
      </c>
      <c r="K42" s="84">
        <v>0</v>
      </c>
      <c r="L42" s="7">
        <v>110.46</v>
      </c>
      <c r="M42" s="56">
        <v>0</v>
      </c>
      <c r="N42" s="7">
        <v>0</v>
      </c>
      <c r="O42" s="7">
        <v>29.64</v>
      </c>
      <c r="P42" s="39">
        <f t="shared" si="6"/>
        <v>-114.69999999999999</v>
      </c>
      <c r="Q42" s="40"/>
    </row>
    <row r="43" spans="1:17" x14ac:dyDescent="0.25">
      <c r="A43" s="2"/>
      <c r="B43" s="16" t="s">
        <v>40</v>
      </c>
      <c r="C43" s="7">
        <v>275</v>
      </c>
      <c r="D43" s="7">
        <v>0</v>
      </c>
      <c r="E43" s="7">
        <v>79.13</v>
      </c>
      <c r="F43" s="56">
        <v>0</v>
      </c>
      <c r="G43" s="7">
        <v>0</v>
      </c>
      <c r="H43" s="56">
        <v>0</v>
      </c>
      <c r="I43" s="56">
        <v>0</v>
      </c>
      <c r="J43" s="7">
        <v>0</v>
      </c>
      <c r="K43" s="84">
        <v>0</v>
      </c>
      <c r="L43" s="7">
        <v>79.59</v>
      </c>
      <c r="M43" s="56">
        <v>0</v>
      </c>
      <c r="N43" s="7">
        <v>0</v>
      </c>
      <c r="O43" s="7">
        <v>89.97</v>
      </c>
      <c r="P43" s="29">
        <f t="shared" si="6"/>
        <v>26.310000000000002</v>
      </c>
      <c r="Q43" s="40" t="s">
        <v>41</v>
      </c>
    </row>
    <row r="44" spans="1:17" x14ac:dyDescent="0.25">
      <c r="A44" s="5" t="s">
        <v>42</v>
      </c>
      <c r="B44" s="2"/>
      <c r="C44" s="8">
        <f>SUM(C40:C43)</f>
        <v>475</v>
      </c>
      <c r="D44" s="8">
        <f>SUM(D40:D43)</f>
        <v>0</v>
      </c>
      <c r="E44" s="8">
        <f>SUM(E40:E43)</f>
        <v>79.13</v>
      </c>
      <c r="F44" s="57">
        <v>0</v>
      </c>
      <c r="G44" s="8">
        <f t="shared" ref="G44:L44" si="7">SUM(G40:G43)</f>
        <v>17.5</v>
      </c>
      <c r="H44" s="57">
        <f t="shared" si="7"/>
        <v>0</v>
      </c>
      <c r="I44" s="57">
        <f t="shared" si="7"/>
        <v>0</v>
      </c>
      <c r="J44" s="8">
        <f t="shared" si="7"/>
        <v>15.6</v>
      </c>
      <c r="K44" s="85">
        <f t="shared" si="7"/>
        <v>0</v>
      </c>
      <c r="L44" s="8">
        <f t="shared" si="7"/>
        <v>206.62</v>
      </c>
      <c r="M44" s="57">
        <v>0</v>
      </c>
      <c r="N44" s="8">
        <v>0</v>
      </c>
      <c r="O44" s="8">
        <f>SUM(O40:O43)</f>
        <v>234.58</v>
      </c>
      <c r="P44" s="37">
        <f>SUM(P40:P43)</f>
        <v>-78.429999999999978</v>
      </c>
      <c r="Q44" s="40"/>
    </row>
    <row r="45" spans="1:17" x14ac:dyDescent="0.25">
      <c r="A45" s="2"/>
      <c r="B45" s="2"/>
      <c r="C45" s="7"/>
      <c r="D45" s="7"/>
      <c r="E45" s="7"/>
      <c r="F45" s="7"/>
      <c r="G45" s="7"/>
      <c r="H45" s="56"/>
      <c r="I45" s="7"/>
      <c r="J45" s="7"/>
      <c r="K45" s="7"/>
      <c r="L45" s="7"/>
      <c r="M45" s="7"/>
      <c r="N45" s="7"/>
      <c r="O45" s="7"/>
      <c r="P45" s="33"/>
      <c r="Q45" s="28"/>
    </row>
    <row r="46" spans="1:17" x14ac:dyDescent="0.25">
      <c r="A46" s="2" t="s">
        <v>43</v>
      </c>
      <c r="B46" s="2"/>
      <c r="C46" s="7"/>
      <c r="D46" s="7"/>
      <c r="E46" s="7"/>
      <c r="F46" s="7"/>
      <c r="G46" s="7"/>
      <c r="H46" s="56"/>
      <c r="I46" s="7"/>
      <c r="J46" s="7"/>
      <c r="K46" s="7"/>
      <c r="L46" s="7"/>
      <c r="M46" s="7"/>
      <c r="N46" s="7"/>
      <c r="O46" s="7"/>
      <c r="P46" s="7"/>
      <c r="Q46" s="28"/>
    </row>
    <row r="47" spans="1:17" x14ac:dyDescent="0.25">
      <c r="A47" s="2"/>
      <c r="B47" s="15" t="s">
        <v>44</v>
      </c>
      <c r="C47" s="7">
        <v>300</v>
      </c>
      <c r="D47" s="7">
        <v>0</v>
      </c>
      <c r="E47" s="7">
        <v>0</v>
      </c>
      <c r="F47" s="56">
        <v>0</v>
      </c>
      <c r="G47" s="7">
        <v>0</v>
      </c>
      <c r="H47" s="56">
        <v>0</v>
      </c>
      <c r="I47" s="7">
        <v>317</v>
      </c>
      <c r="J47" s="56">
        <v>0</v>
      </c>
      <c r="K47" s="7">
        <v>0</v>
      </c>
      <c r="L47" s="7">
        <v>0</v>
      </c>
      <c r="M47" s="7">
        <v>0</v>
      </c>
      <c r="N47" s="7">
        <v>0</v>
      </c>
      <c r="O47" s="56">
        <v>0</v>
      </c>
      <c r="P47" s="7">
        <f t="shared" ref="P47:P48" si="8">C47-(D47+E47+F47+G47+H47+I47+J47+K47+L47+M47+N47+O47)</f>
        <v>-17</v>
      </c>
      <c r="Q47" s="28" t="s">
        <v>92</v>
      </c>
    </row>
    <row r="48" spans="1:17" x14ac:dyDescent="0.25">
      <c r="A48" s="2"/>
      <c r="B48" s="15" t="s">
        <v>46</v>
      </c>
      <c r="C48" s="7">
        <v>300</v>
      </c>
      <c r="D48" s="7">
        <v>0</v>
      </c>
      <c r="E48" s="7">
        <v>32</v>
      </c>
      <c r="F48" s="7">
        <v>42</v>
      </c>
      <c r="G48" s="7">
        <v>8.5</v>
      </c>
      <c r="H48" s="56">
        <v>0</v>
      </c>
      <c r="I48" s="7">
        <v>0</v>
      </c>
      <c r="J48" s="56">
        <v>0</v>
      </c>
      <c r="K48" s="7">
        <v>0</v>
      </c>
      <c r="L48" s="7">
        <v>0</v>
      </c>
      <c r="M48" s="7">
        <v>81.93</v>
      </c>
      <c r="N48" s="7">
        <f>449.44+100+50</f>
        <v>599.44000000000005</v>
      </c>
      <c r="O48" s="7">
        <v>100</v>
      </c>
      <c r="P48" s="7">
        <f t="shared" si="8"/>
        <v>-563.87000000000012</v>
      </c>
      <c r="Q48" s="28" t="s">
        <v>93</v>
      </c>
    </row>
    <row r="49" spans="1:17" x14ac:dyDescent="0.25">
      <c r="A49" s="2"/>
      <c r="B49" s="15" t="s">
        <v>39</v>
      </c>
      <c r="C49" s="7">
        <v>500</v>
      </c>
      <c r="D49" s="7">
        <v>56</v>
      </c>
      <c r="E49" s="7">
        <v>0</v>
      </c>
      <c r="F49" s="56">
        <v>0</v>
      </c>
      <c r="G49" s="7">
        <v>0</v>
      </c>
      <c r="H49" s="56">
        <v>0</v>
      </c>
      <c r="I49" s="7">
        <v>0</v>
      </c>
      <c r="J49" s="56">
        <v>61</v>
      </c>
      <c r="K49" s="7">
        <v>0</v>
      </c>
      <c r="L49" s="7">
        <v>24.4</v>
      </c>
      <c r="M49" s="56">
        <v>0</v>
      </c>
      <c r="N49" s="7">
        <v>0</v>
      </c>
      <c r="O49" s="56">
        <v>0</v>
      </c>
      <c r="P49" s="7">
        <f>C49-(D49+E49+F49+G49+H49+I49+J49+K49+L49+M49+N49+O49)</f>
        <v>358.6</v>
      </c>
      <c r="Q49" s="28" t="s">
        <v>47</v>
      </c>
    </row>
    <row r="50" spans="1:17" x14ac:dyDescent="0.25">
      <c r="A50" s="2"/>
      <c r="B50" s="16" t="s">
        <v>48</v>
      </c>
      <c r="C50" s="7">
        <v>300</v>
      </c>
      <c r="D50" s="7">
        <v>0</v>
      </c>
      <c r="E50" s="7">
        <v>0</v>
      </c>
      <c r="F50" s="56" t="s">
        <v>94</v>
      </c>
      <c r="G50" s="7">
        <v>0</v>
      </c>
      <c r="H50" s="56">
        <v>0</v>
      </c>
      <c r="I50" s="7">
        <v>0</v>
      </c>
      <c r="J50" s="56">
        <v>0</v>
      </c>
      <c r="K50" s="7">
        <v>38.11</v>
      </c>
      <c r="L50" s="7">
        <v>126.39</v>
      </c>
      <c r="M50" s="7">
        <v>12.75</v>
      </c>
      <c r="N50" s="7">
        <v>0</v>
      </c>
      <c r="O50" s="56">
        <v>0</v>
      </c>
      <c r="P50" s="58">
        <f>C50-(K50+L50+M50+N50+O50)</f>
        <v>122.75</v>
      </c>
      <c r="Q50" s="28"/>
    </row>
    <row r="51" spans="1:17" x14ac:dyDescent="0.25">
      <c r="A51" s="2"/>
      <c r="B51" s="15" t="s">
        <v>49</v>
      </c>
      <c r="C51" s="7">
        <v>200</v>
      </c>
      <c r="D51" s="7">
        <v>168</v>
      </c>
      <c r="E51" s="7">
        <f>31.65</f>
        <v>31.65</v>
      </c>
      <c r="F51" s="56">
        <v>0</v>
      </c>
      <c r="G51" s="7">
        <v>55</v>
      </c>
      <c r="H51" s="56">
        <v>0</v>
      </c>
      <c r="I51" s="7">
        <v>0</v>
      </c>
      <c r="J51" s="56">
        <v>168</v>
      </c>
      <c r="K51" s="84">
        <v>0</v>
      </c>
      <c r="L51" s="56">
        <v>22.72</v>
      </c>
      <c r="M51" s="56">
        <v>0</v>
      </c>
      <c r="N51" s="7">
        <v>0</v>
      </c>
      <c r="O51" s="7">
        <v>59.39</v>
      </c>
      <c r="P51" s="7">
        <f>C51-(D51+E51+F51+G51+H51+I51+J51+K51+L51+M51+N51+O51)</f>
        <v>-304.76</v>
      </c>
      <c r="Q51" s="28"/>
    </row>
    <row r="52" spans="1:17" x14ac:dyDescent="0.25">
      <c r="A52" s="2"/>
      <c r="B52" s="15" t="s">
        <v>50</v>
      </c>
      <c r="C52" s="7">
        <v>500</v>
      </c>
      <c r="D52" s="7">
        <v>0</v>
      </c>
      <c r="E52" s="7">
        <v>0</v>
      </c>
      <c r="F52" s="7">
        <v>74.61</v>
      </c>
      <c r="G52" s="7">
        <v>68.78</v>
      </c>
      <c r="H52" s="56">
        <v>0</v>
      </c>
      <c r="I52" s="7">
        <v>52.26</v>
      </c>
      <c r="J52" s="56">
        <v>0</v>
      </c>
      <c r="K52" s="84">
        <v>0</v>
      </c>
      <c r="L52" s="7">
        <v>106.14</v>
      </c>
      <c r="M52" s="56">
        <v>0</v>
      </c>
      <c r="N52" s="7">
        <v>0</v>
      </c>
      <c r="O52" s="56">
        <v>0</v>
      </c>
      <c r="P52" s="7">
        <f>C52-(D52+E52+F52+G52+H52+I52+J52+K52+L52+M52+N52+O52)</f>
        <v>198.21000000000004</v>
      </c>
      <c r="Q52" s="28"/>
    </row>
    <row r="53" spans="1:17" x14ac:dyDescent="0.25">
      <c r="A53" s="5" t="s">
        <v>51</v>
      </c>
      <c r="B53" s="2"/>
      <c r="C53" s="8">
        <f t="shared" ref="C53:P53" si="9">SUM(C47:C52)</f>
        <v>2100</v>
      </c>
      <c r="D53" s="8">
        <f t="shared" si="9"/>
        <v>224</v>
      </c>
      <c r="E53" s="8">
        <f t="shared" si="9"/>
        <v>63.65</v>
      </c>
      <c r="F53" s="8">
        <f t="shared" si="9"/>
        <v>116.61</v>
      </c>
      <c r="G53" s="8">
        <f t="shared" si="9"/>
        <v>132.28</v>
      </c>
      <c r="H53" s="57">
        <f t="shared" si="9"/>
        <v>0</v>
      </c>
      <c r="I53" s="8">
        <f t="shared" si="9"/>
        <v>369.26</v>
      </c>
      <c r="J53" s="57">
        <f t="shared" si="9"/>
        <v>229</v>
      </c>
      <c r="K53" s="8">
        <f t="shared" si="9"/>
        <v>38.11</v>
      </c>
      <c r="L53" s="8">
        <f t="shared" si="9"/>
        <v>279.64999999999998</v>
      </c>
      <c r="M53" s="8">
        <f t="shared" si="9"/>
        <v>94.68</v>
      </c>
      <c r="N53" s="8">
        <f t="shared" si="9"/>
        <v>599.44000000000005</v>
      </c>
      <c r="O53" s="8">
        <f t="shared" si="9"/>
        <v>159.38999999999999</v>
      </c>
      <c r="P53" s="8">
        <f t="shared" si="9"/>
        <v>-206.07000000000005</v>
      </c>
      <c r="Q53" s="28"/>
    </row>
    <row r="54" spans="1:17" x14ac:dyDescent="0.25">
      <c r="A54" s="2"/>
      <c r="B54" s="2"/>
      <c r="C54" s="7"/>
      <c r="D54" s="7"/>
      <c r="E54" s="7"/>
      <c r="F54" s="7"/>
      <c r="G54" s="7"/>
      <c r="H54" s="7"/>
      <c r="I54" s="7"/>
      <c r="J54" s="56"/>
      <c r="K54" s="7"/>
      <c r="L54" s="7"/>
      <c r="M54" s="7"/>
      <c r="N54" s="7"/>
      <c r="O54" s="7"/>
      <c r="P54" s="7"/>
      <c r="Q54" s="28"/>
    </row>
    <row r="55" spans="1:17" x14ac:dyDescent="0.25">
      <c r="A55" s="2" t="s">
        <v>52</v>
      </c>
      <c r="B55" s="2"/>
      <c r="C55" s="7"/>
      <c r="D55" s="7"/>
      <c r="E55" s="7"/>
      <c r="F55" s="7"/>
      <c r="G55" s="7"/>
      <c r="H55" s="7"/>
      <c r="I55" s="7"/>
      <c r="J55" s="56"/>
      <c r="K55" s="7"/>
      <c r="L55" s="7"/>
      <c r="M55" s="7"/>
      <c r="N55" s="7"/>
      <c r="O55" s="7"/>
      <c r="P55" s="7"/>
      <c r="Q55" s="28"/>
    </row>
    <row r="56" spans="1:17" x14ac:dyDescent="0.25">
      <c r="A56" s="2"/>
      <c r="B56" s="15" t="s">
        <v>53</v>
      </c>
      <c r="C56" s="7">
        <v>100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7">
        <v>0</v>
      </c>
      <c r="J56" s="56">
        <v>0</v>
      </c>
      <c r="K56" s="7">
        <v>0</v>
      </c>
      <c r="L56" s="7">
        <v>0</v>
      </c>
      <c r="M56" s="56">
        <v>0</v>
      </c>
      <c r="N56" s="7">
        <v>0</v>
      </c>
      <c r="O56" s="7">
        <v>0</v>
      </c>
      <c r="P56" s="7">
        <f>C56-(D56+E56+F56+G56+H56+I56+J56+K56+L56+M56+N56+O56)</f>
        <v>100</v>
      </c>
      <c r="Q56" s="28"/>
    </row>
    <row r="57" spans="1:17" x14ac:dyDescent="0.25">
      <c r="A57" s="5" t="s">
        <v>54</v>
      </c>
      <c r="B57" s="2"/>
      <c r="C57" s="8">
        <f>SUM(C56:C56)</f>
        <v>100</v>
      </c>
      <c r="D57" s="57">
        <v>0</v>
      </c>
      <c r="E57" s="57">
        <v>0</v>
      </c>
      <c r="F57" s="57">
        <v>0</v>
      </c>
      <c r="G57" s="57">
        <v>0</v>
      </c>
      <c r="H57" s="57">
        <f>SUM(H56)</f>
        <v>0</v>
      </c>
      <c r="I57" s="8">
        <v>0</v>
      </c>
      <c r="J57" s="57">
        <v>0</v>
      </c>
      <c r="K57" s="57">
        <v>0</v>
      </c>
      <c r="L57" s="57">
        <v>0</v>
      </c>
      <c r="M57" s="57">
        <v>0</v>
      </c>
      <c r="N57" s="8">
        <v>0</v>
      </c>
      <c r="O57" s="57">
        <v>0</v>
      </c>
      <c r="P57" s="8">
        <f>SUM(P56)</f>
        <v>100</v>
      </c>
      <c r="Q57" s="28"/>
    </row>
    <row r="58" spans="1:17" x14ac:dyDescent="0.25">
      <c r="A58" s="2"/>
      <c r="B58" s="2"/>
      <c r="C58" s="8"/>
      <c r="D58" s="8"/>
      <c r="E58" s="8"/>
      <c r="F58" s="8"/>
      <c r="G58" s="8"/>
      <c r="H58" s="57"/>
      <c r="I58" s="8"/>
      <c r="J58" s="57"/>
      <c r="K58" s="8"/>
      <c r="L58" s="8"/>
      <c r="M58" s="8"/>
      <c r="N58" s="8"/>
      <c r="O58" s="8"/>
      <c r="P58" s="8"/>
      <c r="Q58" s="28"/>
    </row>
    <row r="59" spans="1:17" x14ac:dyDescent="0.25">
      <c r="A59" s="2" t="s">
        <v>55</v>
      </c>
      <c r="B59" s="2"/>
      <c r="C59" s="8"/>
      <c r="D59" s="8"/>
      <c r="E59" s="8"/>
      <c r="F59" s="8"/>
      <c r="G59" s="8"/>
      <c r="H59" s="57"/>
      <c r="I59" s="8"/>
      <c r="J59" s="57"/>
      <c r="K59" s="8"/>
      <c r="L59" s="8"/>
      <c r="M59" s="8"/>
      <c r="N59" s="8"/>
      <c r="O59" s="8"/>
      <c r="P59" s="8"/>
      <c r="Q59" s="28"/>
    </row>
    <row r="60" spans="1:17" x14ac:dyDescent="0.25">
      <c r="A60" s="2"/>
      <c r="B60" s="2" t="s">
        <v>56</v>
      </c>
      <c r="C60" s="17">
        <v>250</v>
      </c>
      <c r="D60" s="17">
        <v>0</v>
      </c>
      <c r="E60" s="17">
        <v>55</v>
      </c>
      <c r="F60" s="59">
        <v>0</v>
      </c>
      <c r="G60" s="17">
        <v>0</v>
      </c>
      <c r="H60" s="59">
        <v>0</v>
      </c>
      <c r="I60" s="17">
        <v>0</v>
      </c>
      <c r="J60" s="59">
        <v>0</v>
      </c>
      <c r="K60" s="17">
        <v>75</v>
      </c>
      <c r="L60" s="59">
        <v>0</v>
      </c>
      <c r="M60" s="59">
        <v>0</v>
      </c>
      <c r="N60" s="17">
        <v>0</v>
      </c>
      <c r="O60" s="59">
        <v>0</v>
      </c>
      <c r="P60" s="17">
        <f t="shared" ref="P60:P62" si="10">C60-(D60+E60+F60+G60+H60+I60+J60+K60+L60+M60+N60+O60)</f>
        <v>120</v>
      </c>
      <c r="Q60" s="28"/>
    </row>
    <row r="61" spans="1:17" x14ac:dyDescent="0.25">
      <c r="A61" s="2"/>
      <c r="B61" s="2" t="s">
        <v>57</v>
      </c>
      <c r="C61" s="17">
        <v>250</v>
      </c>
      <c r="D61" s="17">
        <v>0</v>
      </c>
      <c r="E61" s="17">
        <v>0</v>
      </c>
      <c r="F61" s="59">
        <v>0</v>
      </c>
      <c r="G61" s="17">
        <v>0</v>
      </c>
      <c r="H61" s="59">
        <v>0</v>
      </c>
      <c r="I61" s="17">
        <v>0</v>
      </c>
      <c r="J61" s="59">
        <v>0</v>
      </c>
      <c r="K61" s="59">
        <v>0</v>
      </c>
      <c r="L61" s="59">
        <v>0</v>
      </c>
      <c r="M61" s="59">
        <v>0</v>
      </c>
      <c r="N61" s="17">
        <v>0</v>
      </c>
      <c r="O61" s="59">
        <v>0</v>
      </c>
      <c r="P61" s="17">
        <f t="shared" si="10"/>
        <v>250</v>
      </c>
      <c r="Q61" s="28"/>
    </row>
    <row r="62" spans="1:17" x14ac:dyDescent="0.25">
      <c r="A62" s="2"/>
      <c r="B62" s="2" t="s">
        <v>58</v>
      </c>
      <c r="C62" s="17">
        <v>40</v>
      </c>
      <c r="D62" s="17">
        <v>0</v>
      </c>
      <c r="E62" s="17">
        <v>0</v>
      </c>
      <c r="F62" s="59">
        <v>0</v>
      </c>
      <c r="G62" s="17">
        <v>0</v>
      </c>
      <c r="H62" s="59">
        <v>0</v>
      </c>
      <c r="I62" s="17">
        <v>0</v>
      </c>
      <c r="J62" s="59">
        <v>0</v>
      </c>
      <c r="K62" s="59">
        <v>0</v>
      </c>
      <c r="L62" s="59">
        <v>0</v>
      </c>
      <c r="M62" s="59">
        <v>0</v>
      </c>
      <c r="N62" s="17">
        <v>0</v>
      </c>
      <c r="O62" s="59">
        <v>0</v>
      </c>
      <c r="P62" s="17">
        <f t="shared" si="10"/>
        <v>40</v>
      </c>
      <c r="Q62" s="28"/>
    </row>
    <row r="63" spans="1:17" x14ac:dyDescent="0.25">
      <c r="A63" s="5" t="s">
        <v>59</v>
      </c>
      <c r="B63" s="2"/>
      <c r="C63" s="8">
        <f>SUM(C60:C62)</f>
        <v>540</v>
      </c>
      <c r="D63" s="8">
        <f>SUM(D60:D62)</f>
        <v>0</v>
      </c>
      <c r="E63" s="8">
        <f>SUM(E60:E62)</f>
        <v>55</v>
      </c>
      <c r="F63" s="57">
        <v>0</v>
      </c>
      <c r="G63" s="8">
        <v>0</v>
      </c>
      <c r="H63" s="57">
        <f>SUM(H60:H62)</f>
        <v>0</v>
      </c>
      <c r="I63" s="8">
        <v>0</v>
      </c>
      <c r="J63" s="57">
        <v>0</v>
      </c>
      <c r="K63" s="8">
        <f>SUM(K60:K62)</f>
        <v>75</v>
      </c>
      <c r="L63" s="57">
        <v>0</v>
      </c>
      <c r="M63" s="57">
        <v>0</v>
      </c>
      <c r="N63" s="8">
        <v>0</v>
      </c>
      <c r="O63" s="57">
        <v>0</v>
      </c>
      <c r="P63" s="8">
        <f>SUM(P60:P62)</f>
        <v>410</v>
      </c>
      <c r="Q63" s="28"/>
    </row>
    <row r="64" spans="1:17" x14ac:dyDescent="0.25">
      <c r="A64" s="5"/>
      <c r="B64" s="2"/>
      <c r="C64" s="8"/>
      <c r="D64" s="8"/>
      <c r="E64" s="8"/>
      <c r="F64" s="57"/>
      <c r="G64" s="8"/>
      <c r="H64" s="8"/>
      <c r="I64" s="8"/>
      <c r="J64" s="57"/>
      <c r="K64" s="8"/>
      <c r="L64" s="8"/>
      <c r="M64" s="8"/>
      <c r="N64" s="8"/>
      <c r="O64" s="57"/>
      <c r="P64" s="8"/>
      <c r="Q64" s="28"/>
    </row>
    <row r="65" spans="1:17" x14ac:dyDescent="0.25">
      <c r="A65" s="5" t="s">
        <v>95</v>
      </c>
      <c r="B65" s="2"/>
      <c r="C65" s="8">
        <v>0</v>
      </c>
      <c r="D65" s="8"/>
      <c r="E65" s="8"/>
      <c r="F65" s="57"/>
      <c r="G65" s="8">
        <f>75+78+179.4+190.82</f>
        <v>523.22</v>
      </c>
      <c r="H65" s="8">
        <f>184.78+250+175+50</f>
        <v>659.78</v>
      </c>
      <c r="I65" s="8">
        <f>9.29+18.75+73.39</f>
        <v>101.43</v>
      </c>
      <c r="J65" s="57">
        <f>494.95+200+200+111.65+10</f>
        <v>1016.6</v>
      </c>
      <c r="K65" s="8">
        <v>0</v>
      </c>
      <c r="L65" s="8">
        <v>144.66999999999999</v>
      </c>
      <c r="M65" s="8">
        <v>198</v>
      </c>
      <c r="N65" s="8">
        <v>0</v>
      </c>
      <c r="O65" s="57">
        <v>0</v>
      </c>
      <c r="P65" s="8">
        <f>2800-SUM(C65:N65)</f>
        <v>156.29999999999973</v>
      </c>
      <c r="Q65" s="26" t="s">
        <v>96</v>
      </c>
    </row>
    <row r="66" spans="1:17" x14ac:dyDescent="0.25">
      <c r="A66" s="5"/>
      <c r="B66" s="2"/>
      <c r="C66" s="8"/>
      <c r="D66" s="8"/>
      <c r="E66" s="8"/>
      <c r="F66" s="57"/>
      <c r="G66" s="8"/>
      <c r="H66" s="8"/>
      <c r="I66" s="8"/>
      <c r="J66" s="57"/>
      <c r="K66" s="8"/>
      <c r="L66" s="8"/>
      <c r="M66" s="8"/>
      <c r="N66" s="8"/>
      <c r="O66" s="8"/>
      <c r="P66" s="8"/>
      <c r="Q66" s="28"/>
    </row>
    <row r="67" spans="1:17" x14ac:dyDescent="0.25">
      <c r="A67" s="79" t="s">
        <v>97</v>
      </c>
      <c r="B67" s="2"/>
      <c r="C67" s="8">
        <v>0</v>
      </c>
      <c r="D67" s="8"/>
      <c r="E67" s="8"/>
      <c r="F67" s="8"/>
      <c r="G67" s="8"/>
      <c r="H67" s="8"/>
      <c r="I67" s="8"/>
      <c r="J67" s="57">
        <f>249+121</f>
        <v>370</v>
      </c>
      <c r="K67" s="8">
        <v>0</v>
      </c>
      <c r="L67" s="57">
        <v>0</v>
      </c>
      <c r="M67" s="57">
        <v>0</v>
      </c>
      <c r="N67" s="8">
        <v>937</v>
      </c>
      <c r="O67" s="8">
        <v>879</v>
      </c>
      <c r="P67" s="8">
        <f>C67-(J67+K67+L67+M67+N67+O67)</f>
        <v>-2186</v>
      </c>
      <c r="Q67" s="28" t="s">
        <v>82</v>
      </c>
    </row>
    <row r="68" spans="1:17" x14ac:dyDescent="0.25">
      <c r="A68" s="79"/>
      <c r="B68" s="2"/>
      <c r="C68" s="8"/>
      <c r="D68" s="8"/>
      <c r="E68" s="8"/>
      <c r="F68" s="8"/>
      <c r="G68" s="8"/>
      <c r="H68" s="8"/>
      <c r="I68" s="8"/>
      <c r="J68" s="57"/>
      <c r="K68" s="8"/>
      <c r="L68" s="8"/>
      <c r="M68" s="8"/>
      <c r="N68" s="8"/>
      <c r="O68" s="8"/>
      <c r="P68" s="8"/>
      <c r="Q68" s="28"/>
    </row>
    <row r="69" spans="1:17" x14ac:dyDescent="0.25">
      <c r="A69" s="5" t="s">
        <v>60</v>
      </c>
      <c r="B69" s="2"/>
      <c r="C69" s="8">
        <f>C31+C37+C44+C53+C57+C63+68</f>
        <v>7233</v>
      </c>
      <c r="D69" s="8">
        <f>D31+D37+D44+D53+D57+D63</f>
        <v>569.20000000000005</v>
      </c>
      <c r="E69" s="8">
        <f>E31+E37+E44+E53+E57+E63</f>
        <v>1173.0900000000001</v>
      </c>
      <c r="F69" s="8">
        <f>F31+F37+F44+F53+F57+F63</f>
        <v>235.81</v>
      </c>
      <c r="G69" s="8">
        <f>G31+G37+G44+G53+G57+G63+G65</f>
        <v>9396.23</v>
      </c>
      <c r="H69" s="8">
        <f>H31+H37+H44+H53+H57+H63+H65</f>
        <v>2675.52</v>
      </c>
      <c r="I69" s="8">
        <f>I31+I37+I44+I53+I57+I63+I65</f>
        <v>1043.69</v>
      </c>
      <c r="J69" s="57">
        <f t="shared" ref="J69:P69" si="11">J31+J37+J44+J53+J57+J63+J65+J67</f>
        <v>3078.42</v>
      </c>
      <c r="K69" s="57">
        <f t="shared" si="11"/>
        <v>526.11</v>
      </c>
      <c r="L69" s="8">
        <f t="shared" si="11"/>
        <v>1388.94</v>
      </c>
      <c r="M69" s="8">
        <f t="shared" si="11"/>
        <v>830.68000000000006</v>
      </c>
      <c r="N69" s="8">
        <f t="shared" si="11"/>
        <v>2274.44</v>
      </c>
      <c r="O69" s="8">
        <f t="shared" si="11"/>
        <v>1790.96</v>
      </c>
      <c r="P69" s="8">
        <f t="shared" si="11"/>
        <v>-15018.090000000002</v>
      </c>
      <c r="Q69" s="28"/>
    </row>
    <row r="70" spans="1:17" x14ac:dyDescent="0.25">
      <c r="A70" s="2"/>
      <c r="B70" s="2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28"/>
    </row>
    <row r="71" spans="1:17" x14ac:dyDescent="0.25">
      <c r="A71" s="21"/>
      <c r="B71" s="21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2"/>
    </row>
    <row r="72" spans="1:17" x14ac:dyDescent="0.25">
      <c r="E72" s="9"/>
    </row>
    <row r="74" spans="1:17" x14ac:dyDescent="0.25">
      <c r="D74" s="9"/>
      <c r="J74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ABCDB-83AD-4642-A74B-4F93FBE1558A}">
  <dimension ref="A1:P65"/>
  <sheetViews>
    <sheetView topLeftCell="C1" workbookViewId="0">
      <selection activeCell="G6" sqref="G6"/>
    </sheetView>
  </sheetViews>
  <sheetFormatPr defaultRowHeight="15" x14ac:dyDescent="0.25"/>
  <cols>
    <col min="1" max="1" width="14.5703125" customWidth="1"/>
    <col min="2" max="2" width="31.140625" customWidth="1"/>
    <col min="3" max="3" width="52.140625" customWidth="1"/>
    <col min="4" max="4" width="10.42578125" bestFit="1" customWidth="1"/>
  </cols>
  <sheetData>
    <row r="1" spans="1:8" x14ac:dyDescent="0.25">
      <c r="A1" s="10" t="s">
        <v>98</v>
      </c>
      <c r="C1" t="s">
        <v>99</v>
      </c>
    </row>
    <row r="3" spans="1:8" x14ac:dyDescent="0.25">
      <c r="A3" s="66" t="s">
        <v>100</v>
      </c>
      <c r="B3" s="30"/>
      <c r="C3" s="67"/>
      <c r="D3" s="64"/>
      <c r="E3" s="65">
        <v>2800</v>
      </c>
    </row>
    <row r="4" spans="1:8" x14ac:dyDescent="0.25">
      <c r="A4" s="10"/>
      <c r="C4" s="10"/>
      <c r="D4" s="10"/>
      <c r="E4" s="68"/>
    </row>
    <row r="5" spans="1:8" x14ac:dyDescent="0.25">
      <c r="A5" s="64" t="s">
        <v>101</v>
      </c>
      <c r="B5" s="64" t="s">
        <v>102</v>
      </c>
      <c r="C5" s="64" t="s">
        <v>103</v>
      </c>
      <c r="D5" s="64" t="s">
        <v>104</v>
      </c>
      <c r="E5" s="64" t="s">
        <v>105</v>
      </c>
    </row>
    <row r="6" spans="1:8" x14ac:dyDescent="0.25">
      <c r="A6" s="69">
        <v>45940</v>
      </c>
      <c r="B6" s="70" t="s">
        <v>106</v>
      </c>
      <c r="C6" s="70" t="s">
        <v>107</v>
      </c>
      <c r="D6" s="71">
        <v>75</v>
      </c>
      <c r="E6" s="71"/>
    </row>
    <row r="7" spans="1:8" x14ac:dyDescent="0.25">
      <c r="A7" s="69">
        <v>45950</v>
      </c>
      <c r="B7" s="70" t="s">
        <v>108</v>
      </c>
      <c r="C7" s="70" t="s">
        <v>109</v>
      </c>
      <c r="D7" s="71">
        <v>190.82</v>
      </c>
      <c r="E7" s="71"/>
    </row>
    <row r="8" spans="1:8" ht="17.25" customHeight="1" x14ac:dyDescent="0.25">
      <c r="A8" s="69">
        <v>45961</v>
      </c>
      <c r="B8" s="70" t="s">
        <v>110</v>
      </c>
      <c r="C8" s="70" t="s">
        <v>111</v>
      </c>
      <c r="D8" s="71">
        <v>179.4</v>
      </c>
      <c r="E8" s="71"/>
    </row>
    <row r="9" spans="1:8" ht="30" customHeight="1" x14ac:dyDescent="0.25">
      <c r="A9" s="69">
        <v>45961</v>
      </c>
      <c r="B9" s="70" t="s">
        <v>112</v>
      </c>
      <c r="C9" s="70" t="s">
        <v>113</v>
      </c>
      <c r="D9" s="71">
        <v>78</v>
      </c>
      <c r="E9" s="71"/>
    </row>
    <row r="10" spans="1:8" x14ac:dyDescent="0.25">
      <c r="A10" s="45"/>
      <c r="B10" s="45" t="s">
        <v>114</v>
      </c>
      <c r="C10" s="45"/>
      <c r="D10" s="71">
        <f>SUM(D6:D9)</f>
        <v>523.22</v>
      </c>
      <c r="E10" s="71"/>
    </row>
    <row r="11" spans="1:8" x14ac:dyDescent="0.25">
      <c r="A11" s="45"/>
      <c r="B11" s="44" t="s">
        <v>115</v>
      </c>
      <c r="C11" s="44"/>
      <c r="D11" s="72"/>
      <c r="E11" s="72">
        <f>E3-D10</f>
        <v>2276.7799999999997</v>
      </c>
    </row>
    <row r="12" spans="1:8" x14ac:dyDescent="0.25">
      <c r="A12" s="45"/>
      <c r="B12" s="45"/>
      <c r="C12" s="45"/>
      <c r="D12" s="71"/>
      <c r="E12" s="71"/>
    </row>
    <row r="13" spans="1:8" x14ac:dyDescent="0.25">
      <c r="A13" s="69">
        <v>45967</v>
      </c>
      <c r="B13" s="45" t="s">
        <v>116</v>
      </c>
      <c r="C13" s="70" t="s">
        <v>111</v>
      </c>
      <c r="D13" s="71">
        <v>184.78</v>
      </c>
      <c r="E13" s="71"/>
    </row>
    <row r="14" spans="1:8" x14ac:dyDescent="0.25">
      <c r="A14" s="69">
        <v>45973</v>
      </c>
      <c r="B14" s="45" t="s">
        <v>117</v>
      </c>
      <c r="C14" s="45" t="s">
        <v>118</v>
      </c>
      <c r="D14" s="71">
        <v>250</v>
      </c>
      <c r="E14" s="71"/>
    </row>
    <row r="15" spans="1:8" x14ac:dyDescent="0.25">
      <c r="A15" s="69">
        <v>45979</v>
      </c>
      <c r="B15" s="45" t="s">
        <v>119</v>
      </c>
      <c r="C15" s="45" t="s">
        <v>120</v>
      </c>
      <c r="D15" s="71">
        <v>175</v>
      </c>
      <c r="E15" s="71"/>
      <c r="H15" s="19"/>
    </row>
    <row r="16" spans="1:8" x14ac:dyDescent="0.25">
      <c r="A16" s="69">
        <v>45981</v>
      </c>
      <c r="B16" s="45" t="s">
        <v>121</v>
      </c>
      <c r="C16" s="45" t="s">
        <v>122</v>
      </c>
      <c r="D16" s="71">
        <v>50</v>
      </c>
      <c r="E16" s="71"/>
    </row>
    <row r="17" spans="1:9" x14ac:dyDescent="0.25">
      <c r="A17" s="45"/>
      <c r="B17" s="45" t="s">
        <v>123</v>
      </c>
      <c r="C17" s="45"/>
      <c r="D17" s="71">
        <f>SUM(D13:D16)</f>
        <v>659.78</v>
      </c>
      <c r="E17" s="71"/>
    </row>
    <row r="18" spans="1:9" x14ac:dyDescent="0.25">
      <c r="A18" s="30"/>
      <c r="B18" s="64" t="s">
        <v>124</v>
      </c>
      <c r="C18" s="30"/>
      <c r="D18" s="63"/>
      <c r="E18" s="65">
        <f>E11-D17</f>
        <v>1616.9999999999998</v>
      </c>
    </row>
    <row r="19" spans="1:9" x14ac:dyDescent="0.25">
      <c r="A19" s="30"/>
      <c r="B19" s="30"/>
      <c r="C19" s="30"/>
      <c r="D19" s="30"/>
      <c r="E19" s="30"/>
    </row>
    <row r="20" spans="1:9" x14ac:dyDescent="0.25">
      <c r="A20" s="46">
        <v>45994</v>
      </c>
      <c r="B20" s="30" t="s">
        <v>125</v>
      </c>
      <c r="C20" s="30" t="s">
        <v>126</v>
      </c>
      <c r="D20" s="30">
        <v>9.2899999999999991</v>
      </c>
      <c r="E20" s="30"/>
      <c r="I20" s="81"/>
    </row>
    <row r="21" spans="1:9" x14ac:dyDescent="0.25">
      <c r="A21" s="46">
        <v>46021</v>
      </c>
      <c r="B21" s="30" t="s">
        <v>127</v>
      </c>
      <c r="C21" s="30" t="s">
        <v>128</v>
      </c>
      <c r="D21" s="30">
        <v>73.39</v>
      </c>
      <c r="E21" s="30"/>
      <c r="I21" s="81"/>
    </row>
    <row r="22" spans="1:9" x14ac:dyDescent="0.25">
      <c r="A22" s="46">
        <v>46022</v>
      </c>
      <c r="B22" s="30" t="s">
        <v>121</v>
      </c>
      <c r="C22" s="30" t="s">
        <v>122</v>
      </c>
      <c r="D22" s="30">
        <v>18.75</v>
      </c>
      <c r="E22" s="30"/>
    </row>
    <row r="23" spans="1:9" x14ac:dyDescent="0.25">
      <c r="A23" s="30"/>
      <c r="B23" s="30" t="s">
        <v>129</v>
      </c>
      <c r="C23" s="30"/>
      <c r="D23" s="30">
        <f>SUM(D20:D22)</f>
        <v>101.43</v>
      </c>
      <c r="E23" s="30"/>
    </row>
    <row r="24" spans="1:9" x14ac:dyDescent="0.25">
      <c r="A24" s="30"/>
      <c r="B24" s="64" t="s">
        <v>130</v>
      </c>
      <c r="C24" s="30"/>
      <c r="D24" s="30"/>
      <c r="E24" s="65">
        <f>E18-D23</f>
        <v>1515.5699999999997</v>
      </c>
    </row>
    <row r="25" spans="1:9" x14ac:dyDescent="0.25">
      <c r="A25" s="30"/>
      <c r="B25" s="30"/>
      <c r="C25" s="30"/>
      <c r="D25" s="30"/>
      <c r="E25" s="30"/>
    </row>
    <row r="26" spans="1:9" x14ac:dyDescent="0.25">
      <c r="A26" s="46">
        <v>46037</v>
      </c>
      <c r="B26" s="30" t="s">
        <v>131</v>
      </c>
      <c r="C26" s="30" t="s">
        <v>132</v>
      </c>
      <c r="D26" s="63">
        <v>111.65</v>
      </c>
      <c r="E26" s="63"/>
    </row>
    <row r="27" spans="1:9" x14ac:dyDescent="0.25">
      <c r="A27" s="46">
        <v>46037</v>
      </c>
      <c r="B27" s="30" t="s">
        <v>131</v>
      </c>
      <c r="C27" s="30" t="s">
        <v>133</v>
      </c>
      <c r="D27" s="80">
        <v>200</v>
      </c>
      <c r="E27" s="80"/>
    </row>
    <row r="28" spans="1:9" x14ac:dyDescent="0.25">
      <c r="A28" s="46">
        <v>46038</v>
      </c>
      <c r="B28" s="30" t="s">
        <v>134</v>
      </c>
      <c r="C28" s="30" t="s">
        <v>135</v>
      </c>
      <c r="D28" s="80">
        <v>10</v>
      </c>
      <c r="E28" s="80"/>
    </row>
    <row r="29" spans="1:9" x14ac:dyDescent="0.25">
      <c r="A29" s="46">
        <v>46049</v>
      </c>
      <c r="B29" s="30" t="s">
        <v>136</v>
      </c>
      <c r="C29" s="30" t="s">
        <v>133</v>
      </c>
      <c r="D29" s="63">
        <v>200</v>
      </c>
      <c r="E29" s="63"/>
    </row>
    <row r="30" spans="1:9" x14ac:dyDescent="0.25">
      <c r="A30" s="46">
        <v>46049</v>
      </c>
      <c r="B30" s="30" t="s">
        <v>136</v>
      </c>
      <c r="C30" s="30" t="s">
        <v>132</v>
      </c>
      <c r="D30" s="63">
        <v>494.95</v>
      </c>
      <c r="E30" s="63"/>
    </row>
    <row r="31" spans="1:9" x14ac:dyDescent="0.25">
      <c r="A31" s="30"/>
      <c r="B31" s="30" t="s">
        <v>137</v>
      </c>
      <c r="C31" s="30"/>
      <c r="D31" s="63">
        <f>SUM(D26:D30)</f>
        <v>1016.5999999999999</v>
      </c>
      <c r="E31" s="63"/>
    </row>
    <row r="32" spans="1:9" x14ac:dyDescent="0.25">
      <c r="A32" s="30"/>
      <c r="B32" s="30" t="s">
        <v>138</v>
      </c>
      <c r="C32" s="30"/>
      <c r="D32" s="63">
        <v>336.3</v>
      </c>
      <c r="E32" s="63"/>
    </row>
    <row r="33" spans="1:5" x14ac:dyDescent="0.25">
      <c r="A33" s="30"/>
      <c r="B33" s="64" t="s">
        <v>139</v>
      </c>
      <c r="C33" s="30"/>
      <c r="D33" s="30"/>
      <c r="E33" s="65">
        <f>E24-(D31+D32)</f>
        <v>162.66999999999985</v>
      </c>
    </row>
    <row r="34" spans="1:5" x14ac:dyDescent="0.25">
      <c r="A34" s="30"/>
      <c r="B34" s="30"/>
      <c r="C34" s="30"/>
      <c r="D34" s="30"/>
      <c r="E34" s="30"/>
    </row>
    <row r="35" spans="1:5" x14ac:dyDescent="0.25">
      <c r="A35" s="87"/>
      <c r="B35" s="88" t="s">
        <v>140</v>
      </c>
      <c r="C35" s="87"/>
      <c r="D35" s="87"/>
      <c r="E35" s="88">
        <v>162.66999999999999</v>
      </c>
    </row>
    <row r="36" spans="1:5" x14ac:dyDescent="0.25">
      <c r="A36" s="30"/>
      <c r="B36" s="30"/>
      <c r="C36" s="30"/>
      <c r="D36" s="30"/>
      <c r="E36" s="30"/>
    </row>
    <row r="37" spans="1:5" x14ac:dyDescent="0.25">
      <c r="A37" s="46">
        <v>411332</v>
      </c>
      <c r="B37" s="30" t="s">
        <v>116</v>
      </c>
      <c r="C37" s="30" t="s">
        <v>141</v>
      </c>
      <c r="D37" s="30">
        <v>144.66999999999999</v>
      </c>
      <c r="E37" s="30"/>
    </row>
    <row r="38" spans="1:5" x14ac:dyDescent="0.25">
      <c r="A38" s="46">
        <v>46090</v>
      </c>
      <c r="B38" s="30" t="s">
        <v>142</v>
      </c>
      <c r="C38" s="30" t="s">
        <v>143</v>
      </c>
      <c r="D38" s="30"/>
      <c r="E38" s="30"/>
    </row>
    <row r="39" spans="1:5" x14ac:dyDescent="0.25">
      <c r="A39" s="30"/>
      <c r="B39" s="64" t="s">
        <v>144</v>
      </c>
      <c r="C39" s="30"/>
      <c r="D39" s="30"/>
      <c r="E39" s="65">
        <f>(E35-(D37))+336.3</f>
        <v>354.3</v>
      </c>
    </row>
    <row r="40" spans="1:5" x14ac:dyDescent="0.25">
      <c r="A40" s="30"/>
      <c r="B40" s="30"/>
      <c r="C40" s="30"/>
      <c r="D40" s="30"/>
      <c r="E40" s="30"/>
    </row>
    <row r="41" spans="1:5" x14ac:dyDescent="0.25">
      <c r="A41" s="46">
        <v>46129</v>
      </c>
      <c r="B41" s="30" t="s">
        <v>145</v>
      </c>
      <c r="C41" s="30" t="s">
        <v>146</v>
      </c>
      <c r="D41" s="63">
        <v>198</v>
      </c>
      <c r="E41" s="30"/>
    </row>
    <row r="42" spans="1:5" x14ac:dyDescent="0.25">
      <c r="A42" s="30"/>
      <c r="B42" s="64" t="s">
        <v>147</v>
      </c>
      <c r="C42" s="30"/>
      <c r="D42" s="30"/>
      <c r="E42" s="65">
        <f>E39-D41</f>
        <v>156.30000000000001</v>
      </c>
    </row>
    <row r="43" spans="1:5" x14ac:dyDescent="0.25">
      <c r="A43" s="30"/>
      <c r="B43" s="30"/>
      <c r="C43" s="30"/>
      <c r="D43" s="30"/>
      <c r="E43" s="30"/>
    </row>
    <row r="44" spans="1:5" x14ac:dyDescent="0.25">
      <c r="A44" s="30"/>
      <c r="B44" s="64" t="s">
        <v>148</v>
      </c>
      <c r="C44" s="30"/>
      <c r="D44" s="30"/>
      <c r="E44" s="64">
        <v>156.30000000000001</v>
      </c>
    </row>
    <row r="65" spans="16:16" x14ac:dyDescent="0.25">
      <c r="P65" t="e" cm="1">
        <f t="array" aca="1" ref="P65" ca="1">'100 Women Who Care PB'!A13SUM(C65:O65)</f>
        <v>#NAME?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FY26 Budget</vt:lpstr>
      <vt:lpstr>FY26 YTD</vt:lpstr>
      <vt:lpstr>100 Women Who Care PB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Katrina Larsen</dc:creator>
  <cp:keywords/>
  <dc:description/>
  <cp:lastModifiedBy>Evanne Hunt</cp:lastModifiedBy>
  <cp:revision/>
  <dcterms:created xsi:type="dcterms:W3CDTF">2024-12-03T23:05:11Z</dcterms:created>
  <dcterms:modified xsi:type="dcterms:W3CDTF">2026-07-14T19:30:28Z</dcterms:modified>
  <cp:category/>
  <cp:contentStatus/>
</cp:coreProperties>
</file>